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C:\Users\rkeech\Dropbox\RKeech Consulting\Clients\2017-2018\Tony OConnell\Efficient house model 2018\"/>
    </mc:Choice>
  </mc:AlternateContent>
  <xr:revisionPtr revIDLastSave="0" documentId="10_ncr:8100000_{C20C1C19-DF6B-4E86-8DF9-AB1DDEBBD307}" xr6:coauthVersionLast="33" xr6:coauthVersionMax="33" xr10:uidLastSave="{00000000-0000-0000-0000-000000000000}"/>
  <bookViews>
    <workbookView xWindow="0" yWindow="0" windowWidth="16380" windowHeight="8190" tabRatio="905" activeTab="2" xr2:uid="{00000000-000D-0000-FFFF-FFFF00000000}"/>
  </bookViews>
  <sheets>
    <sheet name="Meta" sheetId="1" r:id="rId1"/>
    <sheet name="Reference case" sheetId="2" r:id="rId2"/>
    <sheet name="Common Assumptions" sheetId="3" r:id="rId3"/>
    <sheet name="SC-rate function" sheetId="12" r:id="rId4"/>
    <sheet name="Consumption and calibration" sheetId="11" r:id="rId5"/>
    <sheet name="PV" sheetId="4" r:id="rId6"/>
    <sheet name="Heating and cooling" sheetId="5" r:id="rId7"/>
    <sheet name="NatHERS scale" sheetId="6" r:id="rId8"/>
    <sheet name="Other loads" sheetId="7" r:id="rId9"/>
    <sheet name="Hot water" sheetId="8" r:id="rId10"/>
    <sheet name="Battery" sheetId="10" r:id="rId11"/>
    <sheet name="Electricity bill" sheetId="9" r:id="rId12"/>
    <sheet name="Calibration notes" sheetId="13" r:id="rId13"/>
    <sheet name="AC stars" sheetId="14" r:id="rId14"/>
  </sheets>
  <definedNames>
    <definedName name="Activity_hours_per_day">'Common Assumptions'!$B$9</definedName>
    <definedName name="area_scaling">'Common Assumptions'!$B$23</definedName>
    <definedName name="Capacity_factor">'Common Assumptions'!$B$18</definedName>
    <definedName name="Cooling_energy_electric_per_annum">'Heating and cooling'!$B$14</definedName>
    <definedName name="Cooling_season">'Common Assumptions'!$B$22</definedName>
    <definedName name="CoP">'Common Assumptions'!$B$8</definedName>
    <definedName name="energy_usage_practice_scaling">'Heating and cooling'!$C$34</definedName>
    <definedName name="Feed_in_tarif">'Common Assumptions'!$B$6</definedName>
    <definedName name="Floor_area">'Common Assumptions'!$B$24</definedName>
    <definedName name="Heating_energy_electric_per_annum">'Heating and cooling'!$B$13</definedName>
    <definedName name="Heating_season">'Common Assumptions'!$B$21</definedName>
    <definedName name="Import_tarif">'Common Assumptions'!$B$5</definedName>
    <definedName name="NatHERS_energy_density">'Heating and cooling'!$B$4</definedName>
    <definedName name="Occupancy_people">'Reference case'!$B$9</definedName>
    <definedName name="Occupancy_scaling">'Heating and cooling'!$B$10</definedName>
    <definedName name="Occupancy_time_proportion">'Reference case'!$B$8</definedName>
    <definedName name="Reality_check_scaling">'Heating and cooling'!$B$9</definedName>
    <definedName name="Solar_sufficiency_scaling">'Common Assumptions'!$B$10</definedName>
    <definedName name="Summertime_peak_sun_hours">'Common Assumptions'!$B$20</definedName>
    <definedName name="Wintertime_peak_sun_hours">'Common Assumptions'!$B$19</definedName>
  </definedNames>
  <calcPr calcId="162913" concurrentCalc="0"/>
</workbook>
</file>

<file path=xl/calcChain.xml><?xml version="1.0" encoding="utf-8"?>
<calcChain xmlns="http://schemas.openxmlformats.org/spreadsheetml/2006/main">
  <c r="B13" i="3" l="1"/>
  <c r="B3" i="4"/>
  <c r="B14" i="3"/>
  <c r="B18" i="3"/>
  <c r="B4" i="4"/>
  <c r="C8" i="6"/>
  <c r="A5" i="6"/>
  <c r="B3" i="5"/>
  <c r="B7" i="6"/>
  <c r="C38" i="6"/>
  <c r="C5" i="6"/>
  <c r="I39" i="6"/>
  <c r="H38" i="6"/>
  <c r="B38" i="6"/>
  <c r="B5" i="6"/>
  <c r="I25" i="6"/>
  <c r="H24" i="6"/>
  <c r="B24" i="6"/>
  <c r="I24" i="6"/>
  <c r="C24" i="6"/>
  <c r="I26" i="6"/>
  <c r="H25" i="6"/>
  <c r="B25" i="6"/>
  <c r="C25" i="6"/>
  <c r="I27" i="6"/>
  <c r="H26" i="6"/>
  <c r="B26" i="6"/>
  <c r="C26" i="6"/>
  <c r="H27" i="6"/>
  <c r="B27" i="6"/>
  <c r="C27" i="6"/>
  <c r="I29" i="6"/>
  <c r="H28" i="6"/>
  <c r="B28" i="6"/>
  <c r="C28" i="6"/>
  <c r="I30" i="6"/>
  <c r="H29" i="6"/>
  <c r="B29" i="6"/>
  <c r="C29" i="6"/>
  <c r="I31" i="6"/>
  <c r="H30" i="6"/>
  <c r="B30" i="6"/>
  <c r="C30" i="6"/>
  <c r="I32" i="6"/>
  <c r="H31" i="6"/>
  <c r="B31" i="6"/>
  <c r="C31" i="6"/>
  <c r="H32" i="6"/>
  <c r="B32" i="6"/>
  <c r="C32" i="6"/>
  <c r="I34" i="6"/>
  <c r="H33" i="6"/>
  <c r="B33" i="6"/>
  <c r="C33" i="6"/>
  <c r="I35" i="6"/>
  <c r="H34" i="6"/>
  <c r="B34" i="6"/>
  <c r="C34" i="6"/>
  <c r="I36" i="6"/>
  <c r="H35" i="6"/>
  <c r="B35" i="6"/>
  <c r="C35" i="6"/>
  <c r="I37" i="6"/>
  <c r="H36" i="6"/>
  <c r="B36" i="6"/>
  <c r="C36" i="6"/>
  <c r="H37" i="6"/>
  <c r="B37" i="6"/>
  <c r="C37" i="6"/>
  <c r="I40" i="6"/>
  <c r="H39" i="6"/>
  <c r="B39" i="6"/>
  <c r="C39" i="6"/>
  <c r="I41" i="6"/>
  <c r="H40" i="6"/>
  <c r="B40" i="6"/>
  <c r="C40" i="6"/>
  <c r="I42" i="6"/>
  <c r="H41" i="6"/>
  <c r="B41" i="6"/>
  <c r="C41" i="6"/>
  <c r="H42" i="6"/>
  <c r="B42" i="6"/>
  <c r="C42" i="6"/>
  <c r="I44" i="6"/>
  <c r="H43" i="6"/>
  <c r="B43" i="6"/>
  <c r="C43" i="6"/>
  <c r="I45" i="6"/>
  <c r="H44" i="6"/>
  <c r="B44" i="6"/>
  <c r="C44" i="6"/>
  <c r="I46" i="6"/>
  <c r="H45" i="6"/>
  <c r="B45" i="6"/>
  <c r="C45" i="6"/>
  <c r="I47" i="6"/>
  <c r="H46" i="6"/>
  <c r="B46" i="6"/>
  <c r="C46" i="6"/>
  <c r="H47" i="6"/>
  <c r="B47" i="6"/>
  <c r="C47" i="6"/>
  <c r="I49" i="6"/>
  <c r="H48" i="6"/>
  <c r="B48" i="6"/>
  <c r="C48" i="6"/>
  <c r="I50" i="6"/>
  <c r="H49" i="6"/>
  <c r="B49" i="6"/>
  <c r="C49" i="6"/>
  <c r="I51" i="6"/>
  <c r="H50" i="6"/>
  <c r="B50" i="6"/>
  <c r="C50" i="6"/>
  <c r="I52" i="6"/>
  <c r="H51" i="6"/>
  <c r="B51" i="6"/>
  <c r="C51" i="6"/>
  <c r="H52" i="6"/>
  <c r="B52" i="6"/>
  <c r="C52" i="6"/>
  <c r="I54" i="6"/>
  <c r="H53" i="6"/>
  <c r="B53" i="6"/>
  <c r="C53" i="6"/>
  <c r="I55" i="6"/>
  <c r="H54" i="6"/>
  <c r="B54" i="6"/>
  <c r="C54" i="6"/>
  <c r="I56" i="6"/>
  <c r="H55" i="6"/>
  <c r="B55" i="6"/>
  <c r="C55" i="6"/>
  <c r="I57" i="6"/>
  <c r="H56" i="6"/>
  <c r="B56" i="6"/>
  <c r="C56" i="6"/>
  <c r="H57" i="6"/>
  <c r="B57" i="6"/>
  <c r="C57" i="6"/>
  <c r="I59" i="6"/>
  <c r="H58" i="6"/>
  <c r="B58" i="6"/>
  <c r="C58" i="6"/>
  <c r="I60" i="6"/>
  <c r="H59" i="6"/>
  <c r="B59" i="6"/>
  <c r="C59" i="6"/>
  <c r="I61" i="6"/>
  <c r="H60" i="6"/>
  <c r="B60" i="6"/>
  <c r="C60" i="6"/>
  <c r="I62" i="6"/>
  <c r="H61" i="6"/>
  <c r="B61" i="6"/>
  <c r="C61" i="6"/>
  <c r="H62" i="6"/>
  <c r="B62" i="6"/>
  <c r="C62" i="6"/>
  <c r="B63" i="6"/>
  <c r="C63" i="6"/>
  <c r="H12" i="6"/>
  <c r="B12" i="6"/>
  <c r="C12" i="6"/>
  <c r="H13" i="6"/>
  <c r="B13" i="6"/>
  <c r="C13" i="6"/>
  <c r="H14" i="6"/>
  <c r="B14" i="6"/>
  <c r="C14" i="6"/>
  <c r="H15" i="6"/>
  <c r="B15" i="6"/>
  <c r="C15" i="6"/>
  <c r="H16" i="6"/>
  <c r="B16" i="6"/>
  <c r="C16" i="6"/>
  <c r="H17" i="6"/>
  <c r="B17" i="6"/>
  <c r="C17" i="6"/>
  <c r="H18" i="6"/>
  <c r="B18" i="6"/>
  <c r="C18" i="6"/>
  <c r="H19" i="6"/>
  <c r="B19" i="6"/>
  <c r="C19" i="6"/>
  <c r="H20" i="6"/>
  <c r="B20" i="6"/>
  <c r="C20" i="6"/>
  <c r="H21" i="6"/>
  <c r="B21" i="6"/>
  <c r="C21" i="6"/>
  <c r="H22" i="6"/>
  <c r="B22" i="6"/>
  <c r="C22" i="6"/>
  <c r="H23" i="6"/>
  <c r="B23" i="6"/>
  <c r="C23" i="6"/>
  <c r="C11" i="6"/>
  <c r="H11" i="6"/>
  <c r="B11" i="6"/>
  <c r="B17" i="3"/>
  <c r="E62" i="6"/>
  <c r="F62" i="6"/>
  <c r="E61" i="6"/>
  <c r="F61" i="6"/>
  <c r="E60" i="6"/>
  <c r="F60" i="6"/>
  <c r="E59" i="6"/>
  <c r="F59" i="6"/>
  <c r="E58" i="6"/>
  <c r="E57" i="6"/>
  <c r="F57" i="6"/>
  <c r="E56" i="6"/>
  <c r="F56" i="6"/>
  <c r="E55" i="6"/>
  <c r="F55" i="6"/>
  <c r="E54" i="6"/>
  <c r="F54" i="6"/>
  <c r="E53" i="6"/>
  <c r="E52" i="6"/>
  <c r="F52" i="6"/>
  <c r="E51" i="6"/>
  <c r="F51" i="6"/>
  <c r="E50" i="6"/>
  <c r="F50" i="6"/>
  <c r="E49" i="6"/>
  <c r="F49" i="6"/>
  <c r="E48" i="6"/>
  <c r="E47" i="6"/>
  <c r="F47" i="6"/>
  <c r="E46" i="6"/>
  <c r="F46" i="6"/>
  <c r="E45" i="6"/>
  <c r="F45" i="6"/>
  <c r="E44" i="6"/>
  <c r="F44" i="6"/>
  <c r="E43" i="6"/>
  <c r="E42" i="6"/>
  <c r="F42" i="6"/>
  <c r="E41" i="6"/>
  <c r="F41" i="6"/>
  <c r="E40" i="6"/>
  <c r="F40" i="6"/>
  <c r="E39" i="6"/>
  <c r="F39" i="6"/>
  <c r="E38" i="6"/>
  <c r="E37" i="6"/>
  <c r="F37" i="6"/>
  <c r="E36" i="6"/>
  <c r="F36" i="6"/>
  <c r="E35" i="6"/>
  <c r="F35" i="6"/>
  <c r="E34" i="6"/>
  <c r="F34" i="6"/>
  <c r="E33" i="6"/>
  <c r="E32" i="6"/>
  <c r="F32" i="6"/>
  <c r="E31" i="6"/>
  <c r="F31" i="6"/>
  <c r="E30" i="6"/>
  <c r="F30" i="6"/>
  <c r="E29" i="6"/>
  <c r="F29" i="6"/>
  <c r="E28" i="6"/>
  <c r="E27" i="6"/>
  <c r="F27" i="6"/>
  <c r="E26" i="6"/>
  <c r="F26" i="6"/>
  <c r="E25" i="6"/>
  <c r="F25" i="6"/>
  <c r="E24" i="6"/>
  <c r="F24" i="6"/>
  <c r="E23" i="6"/>
  <c r="E22" i="6"/>
  <c r="E21" i="6"/>
  <c r="E20" i="6"/>
  <c r="E19" i="6"/>
  <c r="E18" i="6"/>
  <c r="E17" i="6"/>
  <c r="E16" i="6"/>
  <c r="E15" i="6"/>
  <c r="E14" i="6"/>
  <c r="E13" i="6"/>
  <c r="E12" i="6"/>
  <c r="E11" i="6"/>
  <c r="B22" i="3"/>
  <c r="B21" i="3"/>
  <c r="B20" i="3"/>
  <c r="B19" i="3"/>
  <c r="AD62" i="6"/>
  <c r="AC62" i="6"/>
  <c r="AD61" i="6"/>
  <c r="AC61" i="6"/>
  <c r="AD60" i="6"/>
  <c r="AC60" i="6"/>
  <c r="AD59" i="6"/>
  <c r="AC59" i="6"/>
  <c r="AC58" i="6"/>
  <c r="AD57" i="6"/>
  <c r="AC57" i="6"/>
  <c r="AD56" i="6"/>
  <c r="AC56" i="6"/>
  <c r="AD55" i="6"/>
  <c r="AC55" i="6"/>
  <c r="AD54" i="6"/>
  <c r="AC54" i="6"/>
  <c r="AC53" i="6"/>
  <c r="AD52" i="6"/>
  <c r="AC52" i="6"/>
  <c r="AD51" i="6"/>
  <c r="AC51" i="6"/>
  <c r="AD50" i="6"/>
  <c r="AC50" i="6"/>
  <c r="AD49" i="6"/>
  <c r="AC49" i="6"/>
  <c r="AC48" i="6"/>
  <c r="AD47" i="6"/>
  <c r="AC47" i="6"/>
  <c r="AD46" i="6"/>
  <c r="AC46" i="6"/>
  <c r="AD45" i="6"/>
  <c r="AC45" i="6"/>
  <c r="AD44" i="6"/>
  <c r="AC44" i="6"/>
  <c r="AC43" i="6"/>
  <c r="AD42" i="6"/>
  <c r="AC42" i="6"/>
  <c r="AD41" i="6"/>
  <c r="AC41" i="6"/>
  <c r="AD40" i="6"/>
  <c r="AC40" i="6"/>
  <c r="AD39" i="6"/>
  <c r="AC39" i="6"/>
  <c r="AC38" i="6"/>
  <c r="AD37" i="6"/>
  <c r="AC37" i="6"/>
  <c r="AD36" i="6"/>
  <c r="AC36" i="6"/>
  <c r="AD35" i="6"/>
  <c r="AC35" i="6"/>
  <c r="AD34" i="6"/>
  <c r="AC34" i="6"/>
  <c r="AC33" i="6"/>
  <c r="AD32" i="6"/>
  <c r="AC32" i="6"/>
  <c r="AD31" i="6"/>
  <c r="AC31" i="6"/>
  <c r="AD30" i="6"/>
  <c r="AC30" i="6"/>
  <c r="AD29" i="6"/>
  <c r="AC29" i="6"/>
  <c r="AC28" i="6"/>
  <c r="AD27" i="6"/>
  <c r="AC27" i="6"/>
  <c r="AD26" i="6"/>
  <c r="AC26" i="6"/>
  <c r="AD25" i="6"/>
  <c r="AC25" i="6"/>
  <c r="AD24" i="6"/>
  <c r="AC24" i="6"/>
  <c r="AC23" i="6"/>
  <c r="AC22" i="6"/>
  <c r="AC21" i="6"/>
  <c r="AC20" i="6"/>
  <c r="AC19" i="6"/>
  <c r="AC18" i="6"/>
  <c r="AC17" i="6"/>
  <c r="AC16" i="6"/>
  <c r="AC15" i="6"/>
  <c r="AC14" i="6"/>
  <c r="AC13" i="6"/>
  <c r="AC12" i="6"/>
  <c r="AC11" i="6"/>
  <c r="AA62" i="6"/>
  <c r="Z62" i="6"/>
  <c r="AA61" i="6"/>
  <c r="Z61" i="6"/>
  <c r="AA60" i="6"/>
  <c r="Z60" i="6"/>
  <c r="AA59" i="6"/>
  <c r="Z59" i="6"/>
  <c r="Z58" i="6"/>
  <c r="AA57" i="6"/>
  <c r="Z57" i="6"/>
  <c r="AA56" i="6"/>
  <c r="Z56" i="6"/>
  <c r="AA55" i="6"/>
  <c r="Z55" i="6"/>
  <c r="AA54" i="6"/>
  <c r="Z54" i="6"/>
  <c r="Z53" i="6"/>
  <c r="AA52" i="6"/>
  <c r="Z52" i="6"/>
  <c r="AA51" i="6"/>
  <c r="Z51" i="6"/>
  <c r="AA50" i="6"/>
  <c r="Z50" i="6"/>
  <c r="AA49" i="6"/>
  <c r="Z49" i="6"/>
  <c r="Z48" i="6"/>
  <c r="AA47" i="6"/>
  <c r="Z47" i="6"/>
  <c r="AA46" i="6"/>
  <c r="Z46" i="6"/>
  <c r="AA45" i="6"/>
  <c r="Z45" i="6"/>
  <c r="AA44" i="6"/>
  <c r="Z44" i="6"/>
  <c r="Z43" i="6"/>
  <c r="AA42" i="6"/>
  <c r="Z42" i="6"/>
  <c r="AA41" i="6"/>
  <c r="Z41" i="6"/>
  <c r="AA40" i="6"/>
  <c r="Z40" i="6"/>
  <c r="AA39" i="6"/>
  <c r="Z39" i="6"/>
  <c r="Z38" i="6"/>
  <c r="AA37" i="6"/>
  <c r="Z37" i="6"/>
  <c r="AA36" i="6"/>
  <c r="Z36" i="6"/>
  <c r="AA35" i="6"/>
  <c r="Z35" i="6"/>
  <c r="AA34" i="6"/>
  <c r="Z34" i="6"/>
  <c r="Z33" i="6"/>
  <c r="AA32" i="6"/>
  <c r="Z32" i="6"/>
  <c r="AA31" i="6"/>
  <c r="Z31" i="6"/>
  <c r="AA30" i="6"/>
  <c r="Z30" i="6"/>
  <c r="AA29" i="6"/>
  <c r="Z29" i="6"/>
  <c r="Z28" i="6"/>
  <c r="AA27" i="6"/>
  <c r="Z27" i="6"/>
  <c r="AA26" i="6"/>
  <c r="Z26" i="6"/>
  <c r="AA25" i="6"/>
  <c r="Z25" i="6"/>
  <c r="AA24" i="6"/>
  <c r="Z24" i="6"/>
  <c r="Z23" i="6"/>
  <c r="Z22" i="6"/>
  <c r="Z21" i="6"/>
  <c r="Z20" i="6"/>
  <c r="Z19" i="6"/>
  <c r="Z18" i="6"/>
  <c r="Z17" i="6"/>
  <c r="Z16" i="6"/>
  <c r="Z15" i="6"/>
  <c r="Z14" i="6"/>
  <c r="Z13" i="6"/>
  <c r="Z12" i="6"/>
  <c r="Z11" i="6"/>
  <c r="X62" i="6"/>
  <c r="W62" i="6"/>
  <c r="X61" i="6"/>
  <c r="W61" i="6"/>
  <c r="X60" i="6"/>
  <c r="W60" i="6"/>
  <c r="X59" i="6"/>
  <c r="W59" i="6"/>
  <c r="W58" i="6"/>
  <c r="X57" i="6"/>
  <c r="W57" i="6"/>
  <c r="X56" i="6"/>
  <c r="W56" i="6"/>
  <c r="X55" i="6"/>
  <c r="W55" i="6"/>
  <c r="X54" i="6"/>
  <c r="W54" i="6"/>
  <c r="W53" i="6"/>
  <c r="X52" i="6"/>
  <c r="W52" i="6"/>
  <c r="X51" i="6"/>
  <c r="W51" i="6"/>
  <c r="X50" i="6"/>
  <c r="W50" i="6"/>
  <c r="X49" i="6"/>
  <c r="W49" i="6"/>
  <c r="W48" i="6"/>
  <c r="X47" i="6"/>
  <c r="W47" i="6"/>
  <c r="X46" i="6"/>
  <c r="W46" i="6"/>
  <c r="X45" i="6"/>
  <c r="W45" i="6"/>
  <c r="X44" i="6"/>
  <c r="W44" i="6"/>
  <c r="W43" i="6"/>
  <c r="X42" i="6"/>
  <c r="W42" i="6"/>
  <c r="X41" i="6"/>
  <c r="W41" i="6"/>
  <c r="X40" i="6"/>
  <c r="W40" i="6"/>
  <c r="X39" i="6"/>
  <c r="W39" i="6"/>
  <c r="W38" i="6"/>
  <c r="X37" i="6"/>
  <c r="W37" i="6"/>
  <c r="X36" i="6"/>
  <c r="W36" i="6"/>
  <c r="X35" i="6"/>
  <c r="W35" i="6"/>
  <c r="X34" i="6"/>
  <c r="W34" i="6"/>
  <c r="W33" i="6"/>
  <c r="X32" i="6"/>
  <c r="W32" i="6"/>
  <c r="X31" i="6"/>
  <c r="W31" i="6"/>
  <c r="X30" i="6"/>
  <c r="W30" i="6"/>
  <c r="X29" i="6"/>
  <c r="W29" i="6"/>
  <c r="W28" i="6"/>
  <c r="X27" i="6"/>
  <c r="W27" i="6"/>
  <c r="X26" i="6"/>
  <c r="W26" i="6"/>
  <c r="X25" i="6"/>
  <c r="W25" i="6"/>
  <c r="X24" i="6"/>
  <c r="W24" i="6"/>
  <c r="W23" i="6"/>
  <c r="W22" i="6"/>
  <c r="W21" i="6"/>
  <c r="W20" i="6"/>
  <c r="W19" i="6"/>
  <c r="W18" i="6"/>
  <c r="W17" i="6"/>
  <c r="W16" i="6"/>
  <c r="W15" i="6"/>
  <c r="W14" i="6"/>
  <c r="W13" i="6"/>
  <c r="W12" i="6"/>
  <c r="W11" i="6"/>
  <c r="U62" i="6"/>
  <c r="T62" i="6"/>
  <c r="U61" i="6"/>
  <c r="T61" i="6"/>
  <c r="U60" i="6"/>
  <c r="T60" i="6"/>
  <c r="U59" i="6"/>
  <c r="T59" i="6"/>
  <c r="T58" i="6"/>
  <c r="U57" i="6"/>
  <c r="T57" i="6"/>
  <c r="U56" i="6"/>
  <c r="T56" i="6"/>
  <c r="U55" i="6"/>
  <c r="T55" i="6"/>
  <c r="U54" i="6"/>
  <c r="T54" i="6"/>
  <c r="T53" i="6"/>
  <c r="U52" i="6"/>
  <c r="T52" i="6"/>
  <c r="U51" i="6"/>
  <c r="T51" i="6"/>
  <c r="U50" i="6"/>
  <c r="T50" i="6"/>
  <c r="U49" i="6"/>
  <c r="T49" i="6"/>
  <c r="T48" i="6"/>
  <c r="U47" i="6"/>
  <c r="T47" i="6"/>
  <c r="U46" i="6"/>
  <c r="T46" i="6"/>
  <c r="U45" i="6"/>
  <c r="T45" i="6"/>
  <c r="U44" i="6"/>
  <c r="T44" i="6"/>
  <c r="T43" i="6"/>
  <c r="U42" i="6"/>
  <c r="T42" i="6"/>
  <c r="U41" i="6"/>
  <c r="T41" i="6"/>
  <c r="U40" i="6"/>
  <c r="T40" i="6"/>
  <c r="U39" i="6"/>
  <c r="T39" i="6"/>
  <c r="T38" i="6"/>
  <c r="U37" i="6"/>
  <c r="T37" i="6"/>
  <c r="U36" i="6"/>
  <c r="T36" i="6"/>
  <c r="U35" i="6"/>
  <c r="T35" i="6"/>
  <c r="U34" i="6"/>
  <c r="T34" i="6"/>
  <c r="T33" i="6"/>
  <c r="U32" i="6"/>
  <c r="T32" i="6"/>
  <c r="U31" i="6"/>
  <c r="T31" i="6"/>
  <c r="U30" i="6"/>
  <c r="T30" i="6"/>
  <c r="U29" i="6"/>
  <c r="T29" i="6"/>
  <c r="T28" i="6"/>
  <c r="U27" i="6"/>
  <c r="T27" i="6"/>
  <c r="U26" i="6"/>
  <c r="T26" i="6"/>
  <c r="U25" i="6"/>
  <c r="T25" i="6"/>
  <c r="U24" i="6"/>
  <c r="T24" i="6"/>
  <c r="T23" i="6"/>
  <c r="T22" i="6"/>
  <c r="T21" i="6"/>
  <c r="T20" i="6"/>
  <c r="T19" i="6"/>
  <c r="T18" i="6"/>
  <c r="T17" i="6"/>
  <c r="T16" i="6"/>
  <c r="T15" i="6"/>
  <c r="T14" i="6"/>
  <c r="T13" i="6"/>
  <c r="T12" i="6"/>
  <c r="T11" i="6"/>
  <c r="R62" i="6"/>
  <c r="Q62" i="6"/>
  <c r="R61" i="6"/>
  <c r="Q61" i="6"/>
  <c r="R60" i="6"/>
  <c r="Q60" i="6"/>
  <c r="R59" i="6"/>
  <c r="Q59" i="6"/>
  <c r="Q58" i="6"/>
  <c r="R57" i="6"/>
  <c r="Q57" i="6"/>
  <c r="R56" i="6"/>
  <c r="Q56" i="6"/>
  <c r="R55" i="6"/>
  <c r="Q55" i="6"/>
  <c r="R54" i="6"/>
  <c r="Q54" i="6"/>
  <c r="Q53" i="6"/>
  <c r="R52" i="6"/>
  <c r="Q52" i="6"/>
  <c r="R51" i="6"/>
  <c r="Q51" i="6"/>
  <c r="R50" i="6"/>
  <c r="Q50" i="6"/>
  <c r="R49" i="6"/>
  <c r="Q49" i="6"/>
  <c r="Q48" i="6"/>
  <c r="R47" i="6"/>
  <c r="Q47" i="6"/>
  <c r="R46" i="6"/>
  <c r="Q46" i="6"/>
  <c r="R45" i="6"/>
  <c r="Q45" i="6"/>
  <c r="R44" i="6"/>
  <c r="Q44" i="6"/>
  <c r="Q43" i="6"/>
  <c r="R42" i="6"/>
  <c r="Q42" i="6"/>
  <c r="R41" i="6"/>
  <c r="Q41" i="6"/>
  <c r="R40" i="6"/>
  <c r="Q40" i="6"/>
  <c r="R39" i="6"/>
  <c r="Q39" i="6"/>
  <c r="Q38" i="6"/>
  <c r="R37" i="6"/>
  <c r="Q37" i="6"/>
  <c r="R36" i="6"/>
  <c r="Q36" i="6"/>
  <c r="R35" i="6"/>
  <c r="Q35" i="6"/>
  <c r="R34" i="6"/>
  <c r="Q34" i="6"/>
  <c r="Q33" i="6"/>
  <c r="R32" i="6"/>
  <c r="Q32" i="6"/>
  <c r="R31" i="6"/>
  <c r="Q31" i="6"/>
  <c r="R30" i="6"/>
  <c r="Q30" i="6"/>
  <c r="R29" i="6"/>
  <c r="Q29" i="6"/>
  <c r="Q28" i="6"/>
  <c r="R27" i="6"/>
  <c r="Q27" i="6"/>
  <c r="R26" i="6"/>
  <c r="Q26" i="6"/>
  <c r="R25" i="6"/>
  <c r="Q25" i="6"/>
  <c r="R24" i="6"/>
  <c r="Q24" i="6"/>
  <c r="Q23" i="6"/>
  <c r="Q22" i="6"/>
  <c r="Q21" i="6"/>
  <c r="Q20" i="6"/>
  <c r="Q19" i="6"/>
  <c r="Q18" i="6"/>
  <c r="Q17" i="6"/>
  <c r="Q16" i="6"/>
  <c r="Q15" i="6"/>
  <c r="Q14" i="6"/>
  <c r="Q13" i="6"/>
  <c r="Q12" i="6"/>
  <c r="Q11" i="6"/>
  <c r="O62" i="6"/>
  <c r="N62" i="6"/>
  <c r="O61" i="6"/>
  <c r="N61" i="6"/>
  <c r="O60" i="6"/>
  <c r="N60" i="6"/>
  <c r="O59" i="6"/>
  <c r="N59" i="6"/>
  <c r="N58" i="6"/>
  <c r="O57" i="6"/>
  <c r="N57" i="6"/>
  <c r="O56" i="6"/>
  <c r="N56" i="6"/>
  <c r="O55" i="6"/>
  <c r="N55" i="6"/>
  <c r="O54" i="6"/>
  <c r="N54" i="6"/>
  <c r="N53" i="6"/>
  <c r="O52" i="6"/>
  <c r="N52" i="6"/>
  <c r="O51" i="6"/>
  <c r="N51" i="6"/>
  <c r="O50" i="6"/>
  <c r="N50" i="6"/>
  <c r="O49" i="6"/>
  <c r="N49" i="6"/>
  <c r="N48" i="6"/>
  <c r="O47" i="6"/>
  <c r="N47" i="6"/>
  <c r="O46" i="6"/>
  <c r="N46" i="6"/>
  <c r="O45" i="6"/>
  <c r="N45" i="6"/>
  <c r="O44" i="6"/>
  <c r="N44" i="6"/>
  <c r="N43" i="6"/>
  <c r="O42" i="6"/>
  <c r="N42" i="6"/>
  <c r="O41" i="6"/>
  <c r="N41" i="6"/>
  <c r="O40" i="6"/>
  <c r="N40" i="6"/>
  <c r="O39" i="6"/>
  <c r="N39" i="6"/>
  <c r="N38" i="6"/>
  <c r="O37" i="6"/>
  <c r="N37" i="6"/>
  <c r="O36" i="6"/>
  <c r="N36" i="6"/>
  <c r="O35" i="6"/>
  <c r="N35" i="6"/>
  <c r="O34" i="6"/>
  <c r="N34" i="6"/>
  <c r="N33" i="6"/>
  <c r="O32" i="6"/>
  <c r="N32" i="6"/>
  <c r="O31" i="6"/>
  <c r="N31" i="6"/>
  <c r="O30" i="6"/>
  <c r="N30" i="6"/>
  <c r="O29" i="6"/>
  <c r="N29" i="6"/>
  <c r="N28" i="6"/>
  <c r="O27" i="6"/>
  <c r="N27" i="6"/>
  <c r="O26" i="6"/>
  <c r="N26" i="6"/>
  <c r="O25" i="6"/>
  <c r="N25" i="6"/>
  <c r="O24" i="6"/>
  <c r="N24" i="6"/>
  <c r="N23" i="6"/>
  <c r="N22" i="6"/>
  <c r="N21" i="6"/>
  <c r="N20" i="6"/>
  <c r="N19" i="6"/>
  <c r="N18" i="6"/>
  <c r="N17" i="6"/>
  <c r="N16" i="6"/>
  <c r="N15" i="6"/>
  <c r="N14" i="6"/>
  <c r="N13" i="6"/>
  <c r="N12" i="6"/>
  <c r="N11" i="6"/>
  <c r="L62" i="6"/>
  <c r="K62" i="6"/>
  <c r="L61" i="6"/>
  <c r="K61" i="6"/>
  <c r="L60" i="6"/>
  <c r="K60" i="6"/>
  <c r="L59" i="6"/>
  <c r="K59" i="6"/>
  <c r="K58" i="6"/>
  <c r="L57" i="6"/>
  <c r="K57" i="6"/>
  <c r="L56" i="6"/>
  <c r="K56" i="6"/>
  <c r="L55" i="6"/>
  <c r="K55" i="6"/>
  <c r="L54" i="6"/>
  <c r="K54" i="6"/>
  <c r="K53" i="6"/>
  <c r="L52" i="6"/>
  <c r="K52" i="6"/>
  <c r="L51" i="6"/>
  <c r="K51" i="6"/>
  <c r="L50" i="6"/>
  <c r="K50" i="6"/>
  <c r="L49" i="6"/>
  <c r="K49" i="6"/>
  <c r="K48" i="6"/>
  <c r="L47" i="6"/>
  <c r="K47" i="6"/>
  <c r="L46" i="6"/>
  <c r="K46" i="6"/>
  <c r="L45" i="6"/>
  <c r="K45" i="6"/>
  <c r="L44" i="6"/>
  <c r="K44" i="6"/>
  <c r="K43" i="6"/>
  <c r="L42" i="6"/>
  <c r="K42" i="6"/>
  <c r="L41" i="6"/>
  <c r="K41" i="6"/>
  <c r="L40" i="6"/>
  <c r="K40" i="6"/>
  <c r="L39" i="6"/>
  <c r="K39" i="6"/>
  <c r="K38" i="6"/>
  <c r="L37" i="6"/>
  <c r="K37" i="6"/>
  <c r="L36" i="6"/>
  <c r="K36" i="6"/>
  <c r="L35" i="6"/>
  <c r="K35" i="6"/>
  <c r="L34" i="6"/>
  <c r="K34" i="6"/>
  <c r="K33" i="6"/>
  <c r="L32" i="6"/>
  <c r="K32" i="6"/>
  <c r="L31" i="6"/>
  <c r="K31" i="6"/>
  <c r="L30" i="6"/>
  <c r="K30" i="6"/>
  <c r="L29" i="6"/>
  <c r="K29" i="6"/>
  <c r="K28" i="6"/>
  <c r="L27" i="6"/>
  <c r="K27" i="6"/>
  <c r="L26" i="6"/>
  <c r="K26" i="6"/>
  <c r="L25" i="6"/>
  <c r="K25" i="6"/>
  <c r="L24" i="6"/>
  <c r="K24" i="6"/>
  <c r="K23" i="6"/>
  <c r="K22" i="6"/>
  <c r="K21" i="6"/>
  <c r="K20" i="6"/>
  <c r="K19" i="6"/>
  <c r="K18" i="6"/>
  <c r="K17" i="6"/>
  <c r="K16" i="6"/>
  <c r="K15" i="6"/>
  <c r="K14" i="6"/>
  <c r="K13" i="6"/>
  <c r="K12" i="6"/>
  <c r="K11" i="6"/>
  <c r="D5" i="6"/>
  <c r="B4" i="5"/>
  <c r="B24" i="3"/>
  <c r="B5" i="5"/>
  <c r="B6" i="5"/>
  <c r="B7" i="5"/>
  <c r="B34" i="5"/>
  <c r="C34" i="5"/>
  <c r="B11" i="5"/>
  <c r="B10" i="5"/>
  <c r="B12" i="5"/>
  <c r="C5" i="11"/>
  <c r="B12" i="7"/>
  <c r="B23" i="3"/>
  <c r="B13" i="7"/>
  <c r="C8" i="11"/>
  <c r="B22" i="7"/>
  <c r="B21" i="7"/>
  <c r="B23" i="7"/>
  <c r="C9" i="11"/>
  <c r="B17" i="7"/>
  <c r="B16" i="7"/>
  <c r="B18" i="7"/>
  <c r="C10" i="11"/>
  <c r="B28" i="7"/>
  <c r="B26" i="7"/>
  <c r="B29" i="7"/>
  <c r="C11" i="11"/>
  <c r="B5" i="8"/>
  <c r="E12" i="8"/>
  <c r="E13" i="8"/>
  <c r="E14" i="8"/>
  <c r="E15" i="8"/>
  <c r="E16" i="8"/>
  <c r="E17" i="8"/>
  <c r="E18" i="8"/>
  <c r="E19" i="8"/>
  <c r="E20" i="8"/>
  <c r="E21" i="8"/>
  <c r="E22" i="8"/>
  <c r="E23" i="8"/>
  <c r="E24" i="8"/>
  <c r="C6" i="11"/>
  <c r="C12" i="11"/>
  <c r="B5" i="10"/>
  <c r="B4" i="10"/>
  <c r="B6" i="10"/>
  <c r="B7" i="10"/>
  <c r="B12" i="10"/>
  <c r="H75" i="2"/>
  <c r="H74" i="2"/>
  <c r="G75" i="2"/>
  <c r="G74" i="2"/>
  <c r="H73" i="2"/>
  <c r="G73" i="2"/>
  <c r="H72" i="2"/>
  <c r="G72" i="2"/>
  <c r="H71" i="2"/>
  <c r="G71" i="2"/>
  <c r="B8" i="4"/>
  <c r="B5" i="4"/>
  <c r="B6" i="4"/>
  <c r="B7" i="4"/>
  <c r="B11" i="4"/>
  <c r="B12" i="4"/>
  <c r="C12" i="14"/>
  <c r="C13" i="14"/>
  <c r="C14" i="14"/>
  <c r="C15" i="14"/>
  <c r="C16" i="14"/>
  <c r="C17" i="14"/>
  <c r="C18" i="14"/>
  <c r="C19" i="14"/>
  <c r="C20" i="14"/>
  <c r="C21" i="14"/>
  <c r="C22" i="14"/>
  <c r="C23" i="14"/>
  <c r="C24" i="14"/>
  <c r="C25" i="14"/>
  <c r="C26" i="14"/>
  <c r="C27" i="14"/>
  <c r="C28" i="14"/>
  <c r="C29" i="14"/>
  <c r="B12" i="14"/>
  <c r="B13" i="14"/>
  <c r="B14" i="14"/>
  <c r="B15" i="14"/>
  <c r="B16" i="14"/>
  <c r="B17" i="14"/>
  <c r="B18" i="14"/>
  <c r="B19" i="14"/>
  <c r="B20" i="14"/>
  <c r="B21" i="14"/>
  <c r="B22" i="14"/>
  <c r="B23" i="14"/>
  <c r="B24" i="14"/>
  <c r="B25" i="14"/>
  <c r="B26" i="14"/>
  <c r="B27" i="14"/>
  <c r="B28" i="14"/>
  <c r="B29" i="14"/>
  <c r="C10" i="9"/>
  <c r="C5" i="9"/>
  <c r="C4" i="9"/>
  <c r="C6" i="9"/>
  <c r="B10" i="10"/>
  <c r="B8" i="10"/>
  <c r="B9" i="10"/>
  <c r="B11" i="10"/>
  <c r="C7" i="9"/>
  <c r="C11" i="9"/>
  <c r="B24" i="2"/>
  <c r="B15" i="10"/>
  <c r="D12" i="9"/>
  <c r="B16" i="2"/>
  <c r="B15" i="2"/>
  <c r="B23" i="2"/>
  <c r="H78" i="13"/>
  <c r="F68" i="13"/>
  <c r="E68" i="13"/>
  <c r="D68" i="13"/>
  <c r="C68" i="13"/>
  <c r="F51" i="13"/>
  <c r="E51" i="13"/>
  <c r="D51" i="13"/>
  <c r="C51" i="13"/>
  <c r="H65" i="13"/>
  <c r="H79" i="13"/>
  <c r="B16" i="3"/>
  <c r="B15" i="3"/>
  <c r="C8" i="9"/>
  <c r="D9" i="9"/>
  <c r="B17" i="2"/>
  <c r="H77" i="13"/>
  <c r="H76" i="13"/>
  <c r="H67" i="13"/>
  <c r="H68" i="13"/>
  <c r="B18" i="2"/>
  <c r="H66" i="13"/>
  <c r="F34" i="13"/>
  <c r="E34" i="13"/>
  <c r="D34" i="13"/>
  <c r="C34" i="13"/>
  <c r="G21" i="11"/>
  <c r="G18" i="11"/>
  <c r="H21" i="11"/>
  <c r="H18" i="11"/>
  <c r="I21" i="11"/>
  <c r="I18" i="11"/>
  <c r="G19" i="11"/>
  <c r="H19" i="11"/>
  <c r="I19" i="11"/>
  <c r="G20" i="11"/>
  <c r="H20" i="11"/>
  <c r="I20" i="11"/>
  <c r="I17" i="11"/>
  <c r="H17" i="11"/>
  <c r="G17" i="11"/>
  <c r="E18" i="11"/>
  <c r="E19" i="11"/>
  <c r="E20" i="11"/>
  <c r="E17" i="11"/>
  <c r="E21" i="11"/>
  <c r="D21" i="11"/>
  <c r="C35" i="8"/>
  <c r="D20" i="11"/>
  <c r="C34" i="8"/>
  <c r="D19" i="11"/>
  <c r="C33" i="8"/>
  <c r="D18" i="11"/>
  <c r="C32" i="8"/>
  <c r="D17" i="11"/>
  <c r="B11" i="7"/>
  <c r="C49" i="2"/>
  <c r="I130" i="2"/>
  <c r="H130" i="2"/>
  <c r="G130" i="2"/>
  <c r="F130" i="2"/>
  <c r="E130" i="2"/>
  <c r="D130" i="2"/>
  <c r="C130" i="2"/>
  <c r="C127" i="2"/>
  <c r="I135" i="2"/>
  <c r="I134" i="2"/>
  <c r="I133" i="2"/>
  <c r="I132" i="2"/>
  <c r="I131" i="2"/>
  <c r="H135" i="2"/>
  <c r="H134" i="2"/>
  <c r="H133" i="2"/>
  <c r="H132" i="2"/>
  <c r="H131" i="2"/>
  <c r="G135" i="2"/>
  <c r="G134" i="2"/>
  <c r="G133" i="2"/>
  <c r="G132" i="2"/>
  <c r="G131" i="2"/>
  <c r="F135" i="2"/>
  <c r="F134" i="2"/>
  <c r="F133" i="2"/>
  <c r="F132" i="2"/>
  <c r="F131" i="2"/>
  <c r="E135" i="2"/>
  <c r="E134" i="2"/>
  <c r="E133" i="2"/>
  <c r="E132" i="2"/>
  <c r="E131" i="2"/>
  <c r="D135" i="2"/>
  <c r="D134" i="2"/>
  <c r="D133" i="2"/>
  <c r="D132" i="2"/>
  <c r="D131" i="2"/>
  <c r="C135" i="2"/>
  <c r="C134" i="2"/>
  <c r="C133" i="2"/>
  <c r="C132" i="2"/>
  <c r="C131" i="2"/>
  <c r="I129" i="2"/>
  <c r="H129" i="2"/>
  <c r="G129" i="2"/>
  <c r="F129" i="2"/>
  <c r="E129" i="2"/>
  <c r="D129" i="2"/>
  <c r="C129" i="2"/>
  <c r="B129" i="2"/>
  <c r="F82" i="2"/>
  <c r="B38" i="5"/>
  <c r="B37" i="5"/>
  <c r="F137" i="2"/>
  <c r="G137" i="2"/>
  <c r="E137" i="2"/>
  <c r="I137" i="2"/>
  <c r="D137" i="2"/>
  <c r="H137" i="2"/>
  <c r="C137" i="2"/>
  <c r="B6" i="7"/>
  <c r="F75" i="2"/>
  <c r="E75" i="2"/>
  <c r="D75" i="2"/>
  <c r="F74" i="2"/>
  <c r="E74" i="2"/>
  <c r="D74" i="2"/>
  <c r="F73" i="2"/>
  <c r="E73" i="2"/>
  <c r="D73" i="2"/>
  <c r="F72" i="2"/>
  <c r="E72" i="2"/>
  <c r="D72" i="2"/>
  <c r="F71" i="2"/>
  <c r="E71" i="2"/>
  <c r="D71" i="2"/>
  <c r="C75" i="2"/>
  <c r="C74" i="2"/>
  <c r="C73" i="2"/>
  <c r="C72" i="2"/>
  <c r="C71" i="2"/>
  <c r="B75" i="2"/>
  <c r="B74" i="2"/>
  <c r="B73" i="2"/>
  <c r="B72" i="2"/>
  <c r="B71" i="2"/>
  <c r="F2" i="2"/>
  <c r="C21" i="10"/>
  <c r="C22" i="10"/>
  <c r="C23" i="10"/>
  <c r="C24" i="10"/>
  <c r="C25" i="10"/>
  <c r="C26" i="10"/>
  <c r="C27" i="10"/>
  <c r="C28" i="10"/>
  <c r="C29" i="10"/>
  <c r="C30" i="10"/>
  <c r="C31" i="10"/>
  <c r="C32" i="10"/>
  <c r="C33" i="10"/>
  <c r="C34" i="10"/>
  <c r="C35" i="10"/>
  <c r="C36" i="10"/>
  <c r="C37" i="10"/>
  <c r="C38" i="10"/>
  <c r="C39" i="10"/>
  <c r="C40" i="10"/>
  <c r="C41" i="10"/>
  <c r="B12" i="11"/>
  <c r="C9" i="12"/>
  <c r="B27" i="3"/>
  <c r="C30" i="3"/>
  <c r="C46" i="3"/>
  <c r="D46" i="3"/>
  <c r="C42" i="3"/>
  <c r="D42" i="3"/>
  <c r="C38" i="3"/>
  <c r="D38" i="3"/>
  <c r="C49" i="3"/>
  <c r="D49" i="3"/>
  <c r="C34" i="3"/>
  <c r="D34" i="3"/>
  <c r="C45" i="3"/>
  <c r="D45" i="3"/>
  <c r="C41" i="3"/>
  <c r="D41" i="3"/>
  <c r="C37" i="3"/>
  <c r="D37" i="3"/>
  <c r="C33" i="3"/>
  <c r="D33" i="3"/>
  <c r="C48" i="3"/>
  <c r="D48" i="3"/>
  <c r="C44" i="3"/>
  <c r="D44" i="3"/>
  <c r="C40" i="3"/>
  <c r="D40" i="3"/>
  <c r="C36" i="3"/>
  <c r="C32" i="3"/>
  <c r="D32" i="3"/>
  <c r="C47" i="3"/>
  <c r="D47" i="3"/>
  <c r="C43" i="3"/>
  <c r="D43" i="3"/>
  <c r="C39" i="3"/>
  <c r="D39" i="3"/>
  <c r="C35" i="3"/>
  <c r="D35" i="3"/>
  <c r="C31" i="3"/>
  <c r="D31" i="3"/>
  <c r="D30" i="3"/>
  <c r="F25" i="5"/>
  <c r="F26" i="5"/>
  <c r="F27" i="5"/>
  <c r="F28" i="5"/>
  <c r="F24" i="5"/>
  <c r="D25" i="8"/>
  <c r="J23" i="5"/>
  <c r="B10" i="7"/>
  <c r="B20" i="5"/>
  <c r="C69" i="2"/>
  <c r="F21" i="11"/>
  <c r="B19" i="5"/>
  <c r="C15" i="9"/>
  <c r="E16" i="9"/>
  <c r="B24" i="8"/>
  <c r="D23" i="8"/>
  <c r="D22" i="8"/>
  <c r="D21" i="8"/>
  <c r="D20" i="8"/>
  <c r="D19" i="8"/>
  <c r="D18" i="8"/>
  <c r="D17" i="8"/>
  <c r="D16" i="8"/>
  <c r="D15" i="8"/>
  <c r="D14" i="8"/>
  <c r="D13" i="8"/>
  <c r="D12" i="8"/>
  <c r="B5" i="7"/>
  <c r="C62" i="3"/>
  <c r="C61" i="3"/>
  <c r="C60" i="3"/>
  <c r="C59" i="3"/>
  <c r="C58" i="3"/>
  <c r="C57" i="3"/>
  <c r="C56" i="3"/>
  <c r="B28" i="3"/>
  <c r="C8" i="12"/>
  <c r="D36" i="3"/>
  <c r="D24" i="8"/>
  <c r="F18" i="11"/>
  <c r="F19" i="11"/>
  <c r="F20" i="11"/>
  <c r="F17" i="11"/>
  <c r="B7" i="7"/>
  <c r="C7" i="11"/>
  <c r="C14" i="11"/>
  <c r="B15" i="4"/>
  <c r="E25" i="8"/>
  <c r="B13" i="4"/>
  <c r="B14" i="2"/>
  <c r="B51" i="2"/>
  <c r="B17" i="11"/>
  <c r="B19" i="11"/>
  <c r="B18" i="11"/>
  <c r="B20" i="11"/>
  <c r="B13" i="5"/>
  <c r="B21" i="11"/>
  <c r="D30" i="5"/>
  <c r="C21" i="11"/>
  <c r="B16" i="5"/>
  <c r="B14" i="5"/>
  <c r="C19" i="11"/>
  <c r="J19" i="11"/>
  <c r="K19" i="11"/>
  <c r="C17" i="11"/>
  <c r="J17" i="11"/>
  <c r="K17" i="11"/>
  <c r="C18" i="11"/>
  <c r="J18" i="11"/>
  <c r="K18" i="11"/>
  <c r="C20" i="11"/>
  <c r="J20" i="11"/>
  <c r="K20" i="11"/>
  <c r="C30" i="5"/>
  <c r="E30" i="5"/>
  <c r="E32" i="5"/>
  <c r="B17" i="5"/>
  <c r="J21" i="11"/>
  <c r="K21" i="11"/>
  <c r="B22" i="2"/>
  <c r="B21" i="2"/>
  <c r="B20" i="2"/>
  <c r="E12" i="9"/>
  <c r="E9" i="9"/>
  <c r="E18" i="9"/>
  <c r="B12" i="2"/>
  <c r="F84" i="2"/>
  <c r="B19" i="2"/>
  <c r="F4" i="2"/>
  <c r="B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Richard Keech</author>
  </authors>
  <commentList>
    <comment ref="A9" authorId="0" shapeId="0" xr:uid="{00000000-0006-0000-0100-000001000000}">
      <text>
        <r>
          <rPr>
            <sz val="10"/>
            <rFont val="Arial"/>
            <family val="2"/>
            <charset val="1"/>
          </rPr>
          <t>Based on notional full occupancy being  4 people, 100% of the time</t>
        </r>
      </text>
    </comment>
    <comment ref="A10" authorId="1" shapeId="0" xr:uid="{00000000-0006-0000-0100-000002000000}">
      <text>
        <r>
          <rPr>
            <b/>
            <sz val="9"/>
            <color indexed="81"/>
            <rFont val="Tahoma"/>
            <family val="2"/>
          </rPr>
          <t>Richard Keech:</t>
        </r>
        <r>
          <rPr>
            <sz val="9"/>
            <color indexed="81"/>
            <rFont val="Tahoma"/>
            <family val="2"/>
          </rPr>
          <t xml:space="preserve">
In practice, energy consumption is greatly influenced by occupant behaviour.  This factor tries to reflect that some people are very careful and others not.</t>
        </r>
      </text>
    </comment>
    <comment ref="A11" authorId="1" shapeId="0" xr:uid="{00000000-0006-0000-0100-000003000000}">
      <text>
        <r>
          <rPr>
            <b/>
            <sz val="9"/>
            <color indexed="81"/>
            <rFont val="Tahoma"/>
            <family val="2"/>
          </rPr>
          <t>Richard Keech:</t>
        </r>
        <r>
          <rPr>
            <sz val="9"/>
            <color indexed="81"/>
            <rFont val="Tahoma"/>
            <family val="2"/>
          </rPr>
          <t xml:space="preserve">
Interior floor area, excluding garage.</t>
        </r>
      </text>
    </comment>
    <comment ref="A13" authorId="1" shapeId="0" xr:uid="{00000000-0006-0000-0100-000004000000}">
      <text>
        <r>
          <rPr>
            <b/>
            <sz val="9"/>
            <color indexed="81"/>
            <rFont val="Tahoma"/>
            <family val="2"/>
          </rPr>
          <t>Richard Keech:</t>
        </r>
        <r>
          <rPr>
            <sz val="9"/>
            <color indexed="81"/>
            <rFont val="Tahoma"/>
            <family val="2"/>
          </rPr>
          <t xml:space="preserve">
net energy positive if annual energy fed back (exported) to the grid exceed annual energy purchased from (imported) from the grid.</t>
        </r>
      </text>
    </comment>
    <comment ref="A14" authorId="1" shapeId="0" xr:uid="{00000000-0006-0000-0100-000005000000}">
      <text>
        <r>
          <rPr>
            <b/>
            <sz val="9"/>
            <color indexed="81"/>
            <rFont val="Tahoma"/>
            <family val="2"/>
          </rPr>
          <t>Richard Keech:</t>
        </r>
        <r>
          <rPr>
            <sz val="9"/>
            <color indexed="81"/>
            <rFont val="Tahoma"/>
            <family val="2"/>
          </rPr>
          <t xml:space="preserve">
Only the energy savings - does not account for other indirect benefits, eg blackout protection from battery.</t>
        </r>
      </text>
    </comment>
    <comment ref="A18" authorId="1" shapeId="0" xr:uid="{00000000-0006-0000-0100-000006000000}">
      <text>
        <r>
          <rPr>
            <b/>
            <sz val="9"/>
            <color indexed="81"/>
            <rFont val="Tahoma"/>
            <family val="2"/>
          </rPr>
          <t>Richard Keech:</t>
        </r>
        <r>
          <rPr>
            <sz val="9"/>
            <color indexed="81"/>
            <rFont val="Tahoma"/>
            <family val="2"/>
          </rPr>
          <t xml:space="preserve">
Underlying consumption of the home, excluding battery losses and EV.</t>
        </r>
      </text>
    </comment>
    <comment ref="A19" authorId="1" shapeId="0" xr:uid="{00000000-0006-0000-0100-000007000000}">
      <text>
        <r>
          <rPr>
            <b/>
            <sz val="9"/>
            <color indexed="81"/>
            <rFont val="Tahoma"/>
            <family val="2"/>
          </rPr>
          <t>Richard Keech:</t>
        </r>
        <r>
          <rPr>
            <sz val="9"/>
            <color indexed="81"/>
            <rFont val="Tahoma"/>
            <family val="2"/>
          </rPr>
          <t xml:space="preserve">
Net supply of grid energy. (Import - Export)</t>
        </r>
      </text>
    </comment>
    <comment ref="B19" authorId="1" shapeId="0" xr:uid="{00000000-0006-0000-0100-000008000000}">
      <text>
        <r>
          <rPr>
            <b/>
            <sz val="9"/>
            <color indexed="81"/>
            <rFont val="Tahoma"/>
            <family val="2"/>
          </rPr>
          <t>Richard Keech:</t>
        </r>
        <r>
          <rPr>
            <sz val="9"/>
            <color indexed="81"/>
            <rFont val="Tahoma"/>
            <family val="2"/>
          </rPr>
          <t xml:space="preserve">
Negative number means net energy positive.</t>
        </r>
      </text>
    </comment>
    <comment ref="F20" authorId="1" shapeId="0" xr:uid="{00000000-0006-0000-0100-000009000000}">
      <text>
        <r>
          <rPr>
            <b/>
            <sz val="9"/>
            <color indexed="81"/>
            <rFont val="Tahoma"/>
            <family val="2"/>
          </rPr>
          <t>Richard Keech:</t>
        </r>
        <r>
          <rPr>
            <sz val="9"/>
            <color indexed="81"/>
            <rFont val="Tahoma"/>
            <family val="2"/>
          </rPr>
          <t xml:space="preserve">
Minimum star rating for The Cape is 7.5.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 Keech</author>
    <author/>
  </authors>
  <commentList>
    <comment ref="A7" authorId="0" shapeId="0" xr:uid="{991D28E0-50D9-4F61-99AF-6219B554036D}">
      <text>
        <r>
          <rPr>
            <b/>
            <sz val="9"/>
            <color indexed="81"/>
            <rFont val="Tahoma"/>
            <family val="2"/>
          </rPr>
          <t>Richard Keech:</t>
        </r>
        <r>
          <rPr>
            <sz val="9"/>
            <color indexed="81"/>
            <rFont val="Tahoma"/>
            <family val="2"/>
          </rPr>
          <t xml:space="preserve">
azimuth, clockwise degrees, True north = 0</t>
        </r>
      </text>
    </comment>
    <comment ref="A8" authorId="0" shapeId="0" xr:uid="{00000000-0006-0000-0200-000003000000}">
      <text>
        <r>
          <rPr>
            <b/>
            <sz val="9"/>
            <color indexed="81"/>
            <rFont val="Tahoma"/>
            <charset val="1"/>
          </rPr>
          <t>Richard Keech:</t>
        </r>
        <r>
          <rPr>
            <sz val="9"/>
            <color indexed="81"/>
            <rFont val="Tahoma"/>
            <charset val="1"/>
          </rPr>
          <t xml:space="preserve">
Note, CoP = coefficient of performance. CoP of 3.5 relfects cooling performance of a Daikin L Series (6kW version).  See 'AC stars' tab for CoP of other units.</t>
        </r>
      </text>
    </comment>
    <comment ref="B8" authorId="0" shapeId="0" xr:uid="{00000000-0006-0000-0200-000004000000}">
      <text>
        <r>
          <rPr>
            <b/>
            <sz val="9"/>
            <color indexed="81"/>
            <rFont val="Tahoma"/>
            <charset val="1"/>
          </rPr>
          <t>Richard Keech:</t>
        </r>
        <r>
          <rPr>
            <sz val="9"/>
            <color indexed="81"/>
            <rFont val="Tahoma"/>
            <charset val="1"/>
          </rPr>
          <t xml:space="preserve">
Refer to 'AC stars' tab for examples of CoP values for some different systems.</t>
        </r>
      </text>
    </comment>
    <comment ref="A9" authorId="0" shapeId="0" xr:uid="{00000000-0006-0000-0200-000005000000}">
      <text>
        <r>
          <rPr>
            <b/>
            <sz val="8"/>
            <color indexed="81"/>
            <rFont val="Tahoma"/>
            <family val="2"/>
          </rPr>
          <t>Richard Keech:</t>
        </r>
        <r>
          <rPr>
            <sz val="8"/>
            <color indexed="81"/>
            <rFont val="Tahoma"/>
            <family val="2"/>
          </rPr>
          <t xml:space="preserve">
Outside these hours there's only standby power consumption and refrigerator.</t>
        </r>
      </text>
    </comment>
    <comment ref="A10" authorId="1" shapeId="0" xr:uid="{00000000-0006-0000-0200-000006000000}">
      <text>
        <r>
          <rPr>
            <sz val="10"/>
            <rFont val="Arial"/>
            <family val="2"/>
            <charset val="1"/>
          </rPr>
          <t>The proportion of peak sun hours that there's enough useful PV for all the HVAC.  This can be more than one because peak sun hours is not the same as daylight hours.</t>
        </r>
      </text>
    </comment>
    <comment ref="A13" authorId="1" shapeId="0" xr:uid="{00000000-0006-0000-0200-000002000000}">
      <text>
        <r>
          <rPr>
            <sz val="10"/>
            <rFont val="Arial"/>
            <family val="2"/>
            <charset val="1"/>
          </rPr>
          <t>For solar panels: 1.0 corresponds to north. Less for east and west</t>
        </r>
      </text>
    </comment>
    <comment ref="A14" authorId="0" shapeId="0" xr:uid="{73221996-E60A-4FBF-AB93-E390861BDA3A}">
      <text>
        <r>
          <rPr>
            <b/>
            <sz val="9"/>
            <color indexed="81"/>
            <rFont val="Tahoma"/>
            <family val="2"/>
          </rPr>
          <t>Richard Keech:</t>
        </r>
        <r>
          <rPr>
            <sz val="9"/>
            <color indexed="81"/>
            <rFont val="Tahoma"/>
            <family val="2"/>
          </rPr>
          <t xml:space="preserve">
Index into lookup table of different locales.</t>
        </r>
      </text>
    </comment>
    <comment ref="A15" authorId="1" shapeId="0" xr:uid="{00000000-0006-0000-0200-000007000000}">
      <text>
        <r>
          <rPr>
            <sz val="10"/>
            <rFont val="Arial"/>
            <family val="2"/>
            <charset val="1"/>
          </rPr>
          <t>Export rate is proportion of generated energy that is exported.  Generally the lower this number the better. Export rate increases with PV capacity (all other things being equal).</t>
        </r>
      </text>
    </comment>
    <comment ref="A16" authorId="0" shapeId="0" xr:uid="{00000000-0006-0000-0200-000008000000}">
      <text>
        <r>
          <rPr>
            <b/>
            <sz val="9"/>
            <color indexed="81"/>
            <rFont val="Tahoma"/>
            <family val="2"/>
          </rPr>
          <t>Richard Keech:</t>
        </r>
        <r>
          <rPr>
            <sz val="9"/>
            <color indexed="81"/>
            <rFont val="Tahoma"/>
            <family val="2"/>
          </rPr>
          <t xml:space="preserve">
Self-consumption rate is the complement of the export rate, ie it's the proportion of generated energy used directly in the home at the time of generation.</t>
        </r>
      </text>
    </comment>
    <comment ref="A17" authorId="0" shapeId="0" xr:uid="{00000000-0006-0000-0200-000009000000}">
      <text>
        <r>
          <rPr>
            <b/>
            <sz val="9"/>
            <color indexed="81"/>
            <rFont val="Tahoma"/>
            <family val="2"/>
          </rPr>
          <t xml:space="preserve">Richard Keech:
</t>
        </r>
        <r>
          <rPr>
            <sz val="9"/>
            <color indexed="81"/>
            <rFont val="Tahoma"/>
            <family val="2"/>
          </rPr>
          <t>Typical ratio of heating energy required to cooling energy required.  Refer BZE Buildings Plan Table 2.7 as a starting point for this ratio but adjust it down as befits a more efficient home</t>
        </r>
      </text>
    </comment>
    <comment ref="A18" authorId="0" shapeId="0" xr:uid="{00000000-0006-0000-0200-00000A000000}">
      <text>
        <r>
          <rPr>
            <b/>
            <sz val="9"/>
            <color indexed="81"/>
            <rFont val="Tahoma"/>
            <family val="2"/>
          </rPr>
          <t>Richard Keech:</t>
        </r>
        <r>
          <rPr>
            <sz val="9"/>
            <color indexed="81"/>
            <rFont val="Tahoma"/>
            <family val="2"/>
          </rPr>
          <t xml:space="preserve">
Capacity factor is the ratio of average annual output power to rated power.  Varies based on locale.  See table on "PV" sheet. See Energy Freedom Home pp 76.  Refer also Your Home (5ed) pp 376.</t>
        </r>
      </text>
    </comment>
    <comment ref="A23" authorId="0" shapeId="0" xr:uid="{00000000-0006-0000-0200-00000B000000}">
      <text>
        <r>
          <rPr>
            <b/>
            <sz val="9"/>
            <color indexed="81"/>
            <rFont val="Tahoma"/>
            <family val="2"/>
          </rPr>
          <t>Richard Keech:</t>
        </r>
        <r>
          <rPr>
            <sz val="9"/>
            <color indexed="81"/>
            <rFont val="Tahoma"/>
            <family val="2"/>
          </rPr>
          <t xml:space="preserve">
Some loads will be less because floor area is less. Scale relative to 200m2.</t>
        </r>
      </text>
    </comment>
    <comment ref="A26" authorId="0" shapeId="0" xr:uid="{00000000-0006-0000-0200-00000C000000}">
      <text>
        <r>
          <rPr>
            <b/>
            <sz val="8"/>
            <color indexed="81"/>
            <rFont val="Tahoma"/>
            <family val="2"/>
          </rPr>
          <t>Richard Keech:</t>
        </r>
        <r>
          <rPr>
            <sz val="8"/>
            <color indexed="81"/>
            <rFont val="Tahoma"/>
            <family val="2"/>
          </rPr>
          <t xml:space="preserve">
With low PV capacity, self consumption approaches 100%. With lots of PV self consumption is low.  Since this model doesn't do a real-time load calculation, we need to use this self-consumption rate function to estimate the amount of generated power that gets exported. This is a logistic curve relationship.</t>
        </r>
      </text>
    </comment>
    <comment ref="A27" authorId="1" shapeId="0" xr:uid="{00000000-0006-0000-0200-00000D000000}">
      <text>
        <r>
          <rPr>
            <sz val="10"/>
            <rFont val="Arial"/>
            <family val="2"/>
            <charset val="1"/>
          </rPr>
          <t>The PV capacity where self-consumption rate is 50%</t>
        </r>
      </text>
    </comment>
    <comment ref="A28" authorId="0" shapeId="0" xr:uid="{00000000-0006-0000-0200-00000E000000}">
      <text>
        <r>
          <rPr>
            <b/>
            <sz val="9"/>
            <color indexed="81"/>
            <rFont val="Tahoma"/>
            <family val="2"/>
          </rPr>
          <t>Richard Keech:</t>
        </r>
        <r>
          <rPr>
            <sz val="9"/>
            <color indexed="81"/>
            <rFont val="Tahoma"/>
            <family val="2"/>
          </rPr>
          <t xml:space="preserve">
Difference between model and calibration self-consumption rate. Should be zero.</t>
        </r>
      </text>
    </comment>
    <comment ref="B39" authorId="0" shapeId="0" xr:uid="{00000000-0006-0000-0200-00000F000000}">
      <text>
        <r>
          <rPr>
            <b/>
            <sz val="9"/>
            <color indexed="81"/>
            <rFont val="Tahoma"/>
            <family val="2"/>
          </rPr>
          <t>Richard Keech:</t>
        </r>
        <r>
          <rPr>
            <sz val="9"/>
            <color indexed="81"/>
            <rFont val="Tahoma"/>
            <family val="2"/>
          </rPr>
          <t xml:space="preserve">
This amount of PV corresponds to our calibration case.</t>
        </r>
      </text>
    </comment>
    <comment ref="A52" authorId="1" shapeId="0" xr:uid="{00000000-0006-0000-0200-000011000000}">
      <text>
        <r>
          <rPr>
            <sz val="10"/>
            <rFont val="Arial"/>
            <family val="2"/>
            <charset val="1"/>
          </rPr>
          <t>This returns the proportion of daytime HVAC usage which is covered by PV.  Oversupply ratio is the ratio of generation to consumption.  The higher the ratio, the closer that 100% of the daytime HVAC needs are met by PV. This is a logistic curve relationship.</t>
        </r>
      </text>
    </comment>
    <comment ref="A53" authorId="0" shapeId="0" xr:uid="{E6ADA6D2-D905-4B88-A1AB-A493C72829C7}">
      <text>
        <r>
          <rPr>
            <b/>
            <sz val="9"/>
            <color indexed="81"/>
            <rFont val="Tahoma"/>
            <family val="2"/>
          </rPr>
          <t>Richard Keech:</t>
        </r>
        <r>
          <rPr>
            <sz val="9"/>
            <color indexed="81"/>
            <rFont val="Tahoma"/>
            <family val="2"/>
          </rPr>
          <t xml:space="preserve">
Scaling factor which adjusts steepness of curve. Empirically derived.</t>
        </r>
      </text>
    </comment>
    <comment ref="A54" authorId="1" shapeId="0" xr:uid="{00000000-0006-0000-0200-000012000000}">
      <text>
        <r>
          <rPr>
            <sz val="10"/>
            <rFont val="Arial"/>
            <family val="2"/>
            <charset val="1"/>
          </rPr>
          <t>PV oversupply at which 50% of HVAC load supplied by PV. Empirically derived.</t>
        </r>
      </text>
    </comment>
    <comment ref="B55" authorId="1" shapeId="0" xr:uid="{00000000-0006-0000-0200-000013000000}">
      <text>
        <r>
          <rPr>
            <sz val="10"/>
            <rFont val="Arial"/>
            <family val="2"/>
            <charset val="1"/>
          </rPr>
          <t xml:space="preserve">PV oversupply is the ratio of net available PV generation to HVAC load </t>
        </r>
      </text>
    </comment>
    <comment ref="C65" authorId="0" shapeId="0" xr:uid="{00000000-0006-0000-0200-000014000000}">
      <text>
        <r>
          <rPr>
            <b/>
            <sz val="9"/>
            <color indexed="81"/>
            <rFont val="Tahoma"/>
            <family val="2"/>
          </rPr>
          <t>Richard Keech:</t>
        </r>
        <r>
          <rPr>
            <sz val="9"/>
            <color indexed="81"/>
            <rFont val="Tahoma"/>
            <family val="2"/>
          </rPr>
          <t xml:space="preserve">
Refer Energy Freedom Home pp 76</t>
        </r>
      </text>
    </comment>
    <comment ref="D65" authorId="0" shapeId="0" xr:uid="{00000000-0006-0000-0200-000015000000}">
      <text>
        <r>
          <rPr>
            <b/>
            <sz val="9"/>
            <color indexed="81"/>
            <rFont val="Tahoma"/>
            <family val="2"/>
          </rPr>
          <t>Richard Keech:</t>
        </r>
        <r>
          <rPr>
            <sz val="9"/>
            <color indexed="81"/>
            <rFont val="Tahoma"/>
            <family val="2"/>
          </rPr>
          <t xml:space="preserve">
Inferred from BZE Buildings Plan, Table 2.7 by scaling down by ~2.5</t>
        </r>
      </text>
    </comment>
    <comment ref="E65" authorId="0" shapeId="0" xr:uid="{00000000-0006-0000-0200-000016000000}">
      <text>
        <r>
          <rPr>
            <b/>
            <sz val="9"/>
            <color indexed="81"/>
            <rFont val="Tahoma"/>
            <family val="2"/>
          </rPr>
          <t>Richard Keech:</t>
        </r>
        <r>
          <rPr>
            <sz val="9"/>
            <color indexed="81"/>
            <rFont val="Tahoma"/>
            <family val="2"/>
          </rPr>
          <t xml:space="preserve">
Refer Your Home (5ed) pp 376</t>
        </r>
      </text>
    </comment>
    <comment ref="G65" authorId="0" shapeId="0" xr:uid="{00000000-0006-0000-0200-000017000000}">
      <text>
        <r>
          <rPr>
            <b/>
            <sz val="9"/>
            <color indexed="81"/>
            <rFont val="Tahoma"/>
            <family val="2"/>
          </rPr>
          <t>Richard Keech:</t>
        </r>
        <r>
          <rPr>
            <sz val="9"/>
            <color indexed="81"/>
            <rFont val="Tahoma"/>
            <family val="2"/>
          </rPr>
          <t xml:space="preserve">
Currently this is a guesstimate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Richard Keech</author>
    <author/>
  </authors>
  <commentList>
    <comment ref="B3" authorId="0" shapeId="0" xr:uid="{00000000-0006-0000-0300-000001000000}">
      <text>
        <r>
          <rPr>
            <b/>
            <sz val="9"/>
            <color indexed="81"/>
            <rFont val="Tahoma"/>
            <family val="2"/>
          </rPr>
          <t>Richard Keech:</t>
        </r>
        <r>
          <rPr>
            <sz val="9"/>
            <color indexed="81"/>
            <rFont val="Tahoma"/>
            <family val="2"/>
          </rPr>
          <t xml:space="preserve">
Scaling factor in self-consumption curve which adjusts curve so that SC50 number makes sense at 50%</t>
        </r>
      </text>
    </comment>
    <comment ref="B4" authorId="1" shapeId="0" xr:uid="{00000000-0006-0000-0300-000002000000}">
      <text>
        <r>
          <rPr>
            <sz val="10"/>
            <rFont val="Arial"/>
            <family val="2"/>
            <charset val="1"/>
          </rPr>
          <t>The PV capacity where self-consumption rate is 50%</t>
        </r>
      </text>
    </comment>
    <comment ref="D7" authorId="0" shapeId="0" xr:uid="{00000000-0006-0000-0300-000003000000}">
      <text>
        <r>
          <rPr>
            <b/>
            <sz val="9"/>
            <color indexed="81"/>
            <rFont val="Tahoma"/>
            <family val="2"/>
          </rPr>
          <t>Richard Keech:</t>
        </r>
        <r>
          <rPr>
            <sz val="9"/>
            <color indexed="81"/>
            <rFont val="Tahoma"/>
            <family val="2"/>
          </rPr>
          <t xml:space="preserve">
SC50 = the PV capacity associated with 50% self consumption.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 Keech</author>
  </authors>
  <commentList>
    <comment ref="B4" authorId="0" shapeId="0" xr:uid="{00000000-0006-0000-0400-000001000000}">
      <text>
        <r>
          <rPr>
            <b/>
            <sz val="9"/>
            <color indexed="81"/>
            <rFont val="Tahoma"/>
            <family val="2"/>
          </rPr>
          <t>Richard Keech:</t>
        </r>
        <r>
          <rPr>
            <sz val="9"/>
            <color indexed="81"/>
            <rFont val="Tahoma"/>
            <family val="2"/>
          </rPr>
          <t xml:space="preserve">
for comparison only (based on actual data for household with 100% occupancy, four occupants, 200m2, 6 stars)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Richard Keech</author>
  </authors>
  <commentList>
    <comment ref="B3" authorId="0" shapeId="0" xr:uid="{00000000-0006-0000-0500-000001000000}">
      <text>
        <r>
          <rPr>
            <b/>
            <sz val="9"/>
            <color indexed="81"/>
            <rFont val="Tahoma"/>
            <family val="2"/>
          </rPr>
          <t>Richard Keech:</t>
        </r>
        <r>
          <rPr>
            <sz val="9"/>
            <color indexed="81"/>
            <rFont val="Tahoma"/>
            <family val="2"/>
          </rPr>
          <t xml:space="preserve">
Don't change this number here. It is set on 'Reference case' sheet.</t>
        </r>
      </text>
    </comment>
    <comment ref="A5" authorId="0" shapeId="0" xr:uid="{D732F104-F7DF-4CD6-86B2-6D914DC7973F}">
      <text>
        <r>
          <rPr>
            <b/>
            <sz val="9"/>
            <color indexed="81"/>
            <rFont val="Tahoma"/>
            <family val="2"/>
          </rPr>
          <t>Richard Keech:</t>
        </r>
        <r>
          <rPr>
            <sz val="9"/>
            <color indexed="81"/>
            <rFont val="Tahoma"/>
            <family val="2"/>
          </rPr>
          <t xml:space="preserve">
Self-consumption rate when there's not battery.</t>
        </r>
      </text>
    </comment>
    <comment ref="A6" authorId="0" shapeId="0" xr:uid="{00000000-0006-0000-0500-000002000000}">
      <text>
        <r>
          <rPr>
            <b/>
            <sz val="9"/>
            <color indexed="81"/>
            <rFont val="Tahoma"/>
            <family val="2"/>
          </rPr>
          <t>Richard Keech:</t>
        </r>
        <r>
          <rPr>
            <sz val="9"/>
            <color indexed="81"/>
            <rFont val="Tahoma"/>
            <family val="2"/>
          </rPr>
          <t xml:space="preserve">
Self-consumption energy without considering battery.</t>
        </r>
      </text>
    </comment>
    <comment ref="A7" authorId="0" shapeId="0" xr:uid="{00000000-0006-0000-0500-000003000000}">
      <text>
        <r>
          <rPr>
            <b/>
            <sz val="9"/>
            <color indexed="81"/>
            <rFont val="Tahoma"/>
            <family val="2"/>
          </rPr>
          <t>Richard Keech:</t>
        </r>
        <r>
          <rPr>
            <sz val="9"/>
            <color indexed="81"/>
            <rFont val="Tahoma"/>
            <family val="2"/>
          </rPr>
          <t xml:space="preserve">
Amount of PV energy available for either export or charging battery.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Richard Keech</author>
    <author/>
  </authors>
  <commentList>
    <comment ref="A9" authorId="0" shapeId="0" xr:uid="{00000000-0006-0000-0600-000001000000}">
      <text>
        <r>
          <rPr>
            <b/>
            <sz val="9"/>
            <color indexed="81"/>
            <rFont val="Tahoma"/>
            <family val="2"/>
          </rPr>
          <t>Richard Keech:</t>
        </r>
        <r>
          <rPr>
            <sz val="9"/>
            <color indexed="81"/>
            <rFont val="Tahoma"/>
            <family val="2"/>
          </rPr>
          <t xml:space="preserve">
Scale the HVAC energy so that it agrees with the calibration scenario.</t>
        </r>
      </text>
    </comment>
    <comment ref="A10" authorId="1" shapeId="0" xr:uid="{00000000-0006-0000-0600-000002000000}">
      <text>
        <r>
          <rPr>
            <sz val="10"/>
            <rFont val="Arial"/>
            <family val="2"/>
            <charset val="1"/>
          </rPr>
          <t>Factor reflecting the proportion of the time the home is occupied, which also takes into account the number of occupants.</t>
        </r>
      </text>
    </comment>
    <comment ref="A19" authorId="1" shapeId="0" xr:uid="{00000000-0006-0000-0600-000003000000}">
      <text>
        <r>
          <rPr>
            <sz val="10"/>
            <rFont val="Arial"/>
            <family val="2"/>
            <charset val="1"/>
          </rPr>
          <t>Allow for the fact that the HVAC can't use PV when the sun isn't shining.</t>
        </r>
      </text>
    </comment>
    <comment ref="C34" authorId="0" shapeId="0" xr:uid="{00000000-0006-0000-0600-000004000000}">
      <text>
        <r>
          <rPr>
            <b/>
            <sz val="9"/>
            <color indexed="81"/>
            <rFont val="Tahoma"/>
            <family val="2"/>
          </rPr>
          <t xml:space="preserve">Richard Keech:
</t>
        </r>
        <r>
          <rPr>
            <sz val="9"/>
            <color indexed="81"/>
            <rFont val="Tahoma"/>
            <family val="2"/>
          </rPr>
          <t>As applied to HVAC, resultant scaling of the HVAC energy relative to that implied by the NatHERS energy density.
Also applies to other loads.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Richard Keech</author>
  </authors>
  <commentList>
    <comment ref="A4" authorId="0" shapeId="0" xr:uid="{00000000-0006-0000-0800-000001000000}">
      <text>
        <r>
          <rPr>
            <sz val="10"/>
            <rFont val="Arial"/>
            <family val="2"/>
            <charset val="1"/>
          </rPr>
          <t>Underlying continuously required power (refrigeration and standby loads etc)</t>
        </r>
      </text>
    </comment>
    <comment ref="B4" authorId="1" shapeId="0" xr:uid="{00000000-0006-0000-0800-000002000000}">
      <text>
        <r>
          <rPr>
            <b/>
            <sz val="8"/>
            <color indexed="81"/>
            <rFont val="Tahoma"/>
            <family val="2"/>
          </rPr>
          <t>Richard Keech:</t>
        </r>
        <r>
          <rPr>
            <sz val="8"/>
            <color indexed="81"/>
            <rFont val="Tahoma"/>
            <family val="2"/>
          </rPr>
          <t xml:space="preserve">
Empirically derived based on Richard Keech's data.</t>
        </r>
      </text>
    </comment>
    <comment ref="A9" authorId="0" shapeId="0" xr:uid="{00000000-0006-0000-0800-000003000000}">
      <text>
        <r>
          <rPr>
            <sz val="10"/>
            <rFont val="Arial"/>
            <family val="2"/>
            <charset val="1"/>
          </rPr>
          <t>At full occupancy</t>
        </r>
      </text>
    </comment>
    <comment ref="B9" authorId="1" shapeId="0" xr:uid="{00000000-0006-0000-0800-000004000000}">
      <text>
        <r>
          <rPr>
            <b/>
            <sz val="8"/>
            <color indexed="81"/>
            <rFont val="Tahoma"/>
            <family val="2"/>
          </rPr>
          <t>Richard Keech:</t>
        </r>
        <r>
          <rPr>
            <sz val="8"/>
            <color indexed="81"/>
            <rFont val="Tahoma"/>
            <family val="2"/>
          </rPr>
          <t xml:space="preserve">
Based on actual data from Richard Keech.</t>
        </r>
      </text>
    </comment>
    <comment ref="A15" authorId="0" shapeId="0" xr:uid="{00000000-0006-0000-0800-000005000000}">
      <text>
        <r>
          <rPr>
            <sz val="10"/>
            <rFont val="Arial"/>
            <family val="2"/>
            <charset val="1"/>
          </rPr>
          <t>At full occupancy.</t>
        </r>
      </text>
    </comment>
    <comment ref="B15" authorId="1" shapeId="0" xr:uid="{00000000-0006-0000-0800-000006000000}">
      <text>
        <r>
          <rPr>
            <b/>
            <sz val="8"/>
            <color indexed="81"/>
            <rFont val="Tahoma"/>
            <family val="2"/>
          </rPr>
          <t>Richard Keech:</t>
        </r>
        <r>
          <rPr>
            <sz val="8"/>
            <color indexed="81"/>
            <rFont val="Tahoma"/>
            <family val="2"/>
          </rPr>
          <t xml:space="preserve">
Data from Richard Keech</t>
        </r>
      </text>
    </comment>
    <comment ref="A25" authorId="1" shapeId="0" xr:uid="{00000000-0006-0000-0800-000007000000}">
      <text>
        <r>
          <rPr>
            <b/>
            <sz val="9"/>
            <color indexed="81"/>
            <rFont val="Tahoma"/>
            <family val="2"/>
          </rPr>
          <t>Richard Keech:</t>
        </r>
        <r>
          <rPr>
            <sz val="9"/>
            <color indexed="81"/>
            <rFont val="Tahoma"/>
            <family val="2"/>
          </rPr>
          <t xml:space="preserve">
From Keech data, where pumping includes toilets, laundry and hot water.  Most homes will not be pumping hot water, so scale it back by 2/3.</t>
        </r>
      </text>
    </comment>
    <comment ref="A27" authorId="1" shapeId="0" xr:uid="{00000000-0006-0000-0800-000008000000}">
      <text>
        <r>
          <rPr>
            <b/>
            <sz val="9"/>
            <color indexed="81"/>
            <rFont val="Tahoma"/>
            <family val="2"/>
          </rPr>
          <t>Richard Keech:</t>
        </r>
        <r>
          <rPr>
            <sz val="9"/>
            <color indexed="81"/>
            <rFont val="Tahoma"/>
            <family val="2"/>
          </rPr>
          <t xml:space="preserve">
In the reference example, hot water pumping is about 2/3 of all the pumping.</t>
        </r>
      </text>
    </comment>
    <comment ref="A35" authorId="1" shapeId="0" xr:uid="{00000000-0006-0000-0800-000009000000}">
      <text>
        <r>
          <rPr>
            <b/>
            <sz val="9"/>
            <color indexed="81"/>
            <rFont val="Tahoma"/>
            <family val="2"/>
          </rPr>
          <t>Richard Keech:</t>
        </r>
        <r>
          <rPr>
            <sz val="9"/>
            <color indexed="81"/>
            <rFont val="Tahoma"/>
            <family val="2"/>
          </rPr>
          <t xml:space="preserve">
from Keech data 2017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Richard Keech</author>
  </authors>
  <commentList>
    <comment ref="B5" authorId="0" shapeId="0" xr:uid="{00000000-0006-0000-0900-000001000000}">
      <text>
        <r>
          <rPr>
            <sz val="10"/>
            <rFont val="Arial"/>
            <family val="2"/>
            <charset val="1"/>
          </rPr>
          <t>Estimate of effect on  L/day of consumption arising from home occupancy.  When the number of occupants is 4, the occupancy scaling equals the occupancy proportion (from reference case input).  With fewer people, occupancy scaling reduces to less than the occupancy proportion.</t>
        </r>
      </text>
    </comment>
    <comment ref="B7" authorId="1" shapeId="0" xr:uid="{00000000-0006-0000-0900-000002000000}">
      <text>
        <r>
          <rPr>
            <b/>
            <sz val="8"/>
            <color indexed="81"/>
            <rFont val="Tahoma"/>
            <family val="2"/>
          </rPr>
          <t>Richard Keech:</t>
        </r>
        <r>
          <rPr>
            <sz val="8"/>
            <color indexed="81"/>
            <rFont val="Tahoma"/>
            <family val="2"/>
          </rPr>
          <t xml:space="preserve">
Electrical energy required even when zero hot water is being used.</t>
        </r>
      </text>
    </comment>
    <comment ref="A8" authorId="0" shapeId="0" xr:uid="{00000000-0006-0000-0900-000003000000}">
      <text>
        <r>
          <rPr>
            <sz val="10"/>
            <rFont val="Arial"/>
            <family val="2"/>
            <charset val="1"/>
          </rPr>
          <t>Full amplitude of the seasonal variation.</t>
        </r>
      </text>
    </comment>
    <comment ref="B11" authorId="0" shapeId="0" xr:uid="{00000000-0006-0000-0900-000004000000}">
      <text>
        <r>
          <rPr>
            <sz val="10"/>
            <rFont val="Arial"/>
            <family val="2"/>
            <charset val="1"/>
          </rPr>
          <t>Based on 100% occupancy with four people.</t>
        </r>
      </text>
    </comment>
    <comment ref="B12" authorId="0" shapeId="0" xr:uid="{00000000-0006-0000-0900-000005000000}">
      <text>
        <r>
          <rPr>
            <sz val="10"/>
            <rFont val="Arial"/>
            <family val="2"/>
            <charset val="1"/>
          </rPr>
          <t>From BZE buildings plan, Appendix 6, case 11.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Richard Keech</author>
  </authors>
  <commentList>
    <comment ref="A6" authorId="0" shapeId="0" xr:uid="{00000000-0006-0000-0A00-000001000000}">
      <text>
        <r>
          <rPr>
            <b/>
            <sz val="9"/>
            <color indexed="81"/>
            <rFont val="Tahoma"/>
            <family val="2"/>
          </rPr>
          <t>Richard Keech:</t>
        </r>
        <r>
          <rPr>
            <sz val="9"/>
            <color indexed="81"/>
            <rFont val="Tahoma"/>
            <family val="2"/>
          </rPr>
          <t xml:space="preserve">
Battery capacity ratio is ratio of battery capacity to household daily consumption, ie &lt;1 means that the battery has less capacity than one day's consumption.</t>
        </r>
      </text>
    </comment>
    <comment ref="A7" authorId="0" shapeId="0" xr:uid="{00000000-0006-0000-0A00-000002000000}">
      <text>
        <r>
          <rPr>
            <b/>
            <sz val="9"/>
            <color indexed="81"/>
            <rFont val="Tahoma"/>
            <family val="2"/>
          </rPr>
          <t>Richard Keech:</t>
        </r>
        <r>
          <rPr>
            <sz val="9"/>
            <color indexed="81"/>
            <rFont val="Tahoma"/>
            <family val="2"/>
          </rPr>
          <t xml:space="preserve">
With increasing battery capacity comes reducing ability to fully utilise all that capacity.  A utilisation factor of 50% means that, on average, half the capacity of the battery is used every day.</t>
        </r>
      </text>
    </comment>
    <comment ref="A12" authorId="0" shapeId="0" xr:uid="{00000000-0006-0000-0A00-000003000000}">
      <text>
        <r>
          <rPr>
            <b/>
            <sz val="9"/>
            <color indexed="81"/>
            <rFont val="Tahoma"/>
            <family val="2"/>
          </rPr>
          <t>Richard Keech:</t>
        </r>
        <r>
          <rPr>
            <sz val="9"/>
            <color indexed="81"/>
            <rFont val="Tahoma"/>
            <family val="2"/>
          </rPr>
          <t xml:space="preserve">
If the amount of grid energy the battery can avoid is more than the underlying grid import then the battery is not well-utilised.</t>
        </r>
      </text>
    </comment>
    <comment ref="B18" authorId="0" shapeId="0" xr:uid="{00000000-0006-0000-0A00-000004000000}">
      <text>
        <r>
          <rPr>
            <b/>
            <sz val="9"/>
            <color indexed="81"/>
            <rFont val="Tahoma"/>
            <family val="2"/>
          </rPr>
          <t>Richard Keech:</t>
        </r>
        <r>
          <rPr>
            <sz val="9"/>
            <color indexed="81"/>
            <rFont val="Tahoma"/>
            <family val="2"/>
          </rPr>
          <t xml:space="preserve">
Battery capacity ratio that gives 50% battery utilisation.</t>
        </r>
      </text>
    </comment>
    <comment ref="C18" authorId="0" shapeId="0" xr:uid="{00000000-0006-0000-0A00-000005000000}">
      <text>
        <r>
          <rPr>
            <b/>
            <sz val="9"/>
            <color indexed="81"/>
            <rFont val="Tahoma"/>
            <family val="2"/>
          </rPr>
          <t>Richard Keech:</t>
        </r>
        <r>
          <rPr>
            <sz val="9"/>
            <color indexed="81"/>
            <rFont val="Tahoma"/>
            <family val="2"/>
          </rPr>
          <t xml:space="preserve">
Constant determining the steepness of the battery-utilisation curve.  Calculated by calibrating this model against Sunulator. See 'Calibration notes' tab (possibly hidden) for more detail.</t>
        </r>
      </text>
    </comment>
    <comment ref="B19" authorId="0" shapeId="0" xr:uid="{00000000-0006-0000-0A00-000006000000}">
      <text>
        <r>
          <rPr>
            <b/>
            <sz val="9"/>
            <color indexed="81"/>
            <rFont val="Tahoma"/>
            <family val="2"/>
          </rPr>
          <t>Richard Keech:</t>
        </r>
        <r>
          <rPr>
            <sz val="9"/>
            <color indexed="81"/>
            <rFont val="Tahoma"/>
            <family val="2"/>
          </rPr>
          <t xml:space="preserve">
constant in rate function which allows BUF50 to correspond to 50%</t>
        </r>
      </text>
    </comment>
    <comment ref="B20" authorId="0" shapeId="0" xr:uid="{00000000-0006-0000-0A00-000007000000}">
      <text>
        <r>
          <rPr>
            <b/>
            <sz val="9"/>
            <color indexed="81"/>
            <rFont val="Tahoma"/>
            <family val="2"/>
          </rPr>
          <t>Richard Keech:</t>
        </r>
        <r>
          <rPr>
            <sz val="9"/>
            <color indexed="81"/>
            <rFont val="Tahoma"/>
            <family val="2"/>
          </rPr>
          <t xml:space="preserve">
Battery capacity as a proportion of daily consumption.</t>
        </r>
      </text>
    </comment>
    <comment ref="C20" authorId="0" shapeId="0" xr:uid="{00000000-0006-0000-0A00-000008000000}">
      <text>
        <r>
          <rPr>
            <b/>
            <sz val="9"/>
            <color indexed="81"/>
            <rFont val="Tahoma"/>
            <family val="2"/>
          </rPr>
          <t>Richard Keech:</t>
        </r>
        <r>
          <rPr>
            <sz val="9"/>
            <color indexed="81"/>
            <rFont val="Tahoma"/>
            <family val="2"/>
          </rPr>
          <t xml:space="preserve">
proportion of imported grid energy avoided by the corresponding amount of battery charge. (max 100%).</t>
        </r>
      </text>
    </comment>
  </commentList>
</comments>
</file>

<file path=xl/sharedStrings.xml><?xml version="1.0" encoding="utf-8"?>
<sst xmlns="http://schemas.openxmlformats.org/spreadsheetml/2006/main" count="733" uniqueCount="315">
  <si>
    <t>Description</t>
  </si>
  <si>
    <t>By</t>
  </si>
  <si>
    <t>For</t>
  </si>
  <si>
    <t>Date</t>
  </si>
  <si>
    <t>Version</t>
  </si>
  <si>
    <t>Reference case</t>
  </si>
  <si>
    <t>Assumed star rating</t>
  </si>
  <si>
    <t>Occupancy  (people)</t>
  </si>
  <si>
    <t>Net annual energy bill</t>
  </si>
  <si>
    <t>Net energy positive?</t>
  </si>
  <si>
    <t>Loads</t>
  </si>
  <si>
    <t>Daily service charge [$]</t>
  </si>
  <si>
    <t>Import tarif [$/kWh]</t>
  </si>
  <si>
    <t>Feed-in tarif [$/kWh]</t>
  </si>
  <si>
    <t>Refer http://reneweconomy.com.au/victoria-solar-feed-in-tariff-more-than-doubles-to-11-3ckwh-87581/</t>
  </si>
  <si>
    <t>Export rate at reference-case PV capacity</t>
  </si>
  <si>
    <t>Self-consumption rate for ref case</t>
  </si>
  <si>
    <t>Heating:cooling ratio</t>
  </si>
  <si>
    <t>Wintertime peak sun hours</t>
  </si>
  <si>
    <t>Summertime peak sun hours</t>
  </si>
  <si>
    <t>Heating season (days)</t>
  </si>
  <si>
    <t>Cooling season (days)</t>
  </si>
  <si>
    <t>Activity hours per day</t>
  </si>
  <si>
    <t>Solar sufficiency scaling</t>
  </si>
  <si>
    <t>Self-consumption rate function</t>
  </si>
  <si>
    <t>k</t>
  </si>
  <si>
    <t>sc50</t>
  </si>
  <si>
    <t>PV capacity</t>
  </si>
  <si>
    <t>Self-consumption rate</t>
  </si>
  <si>
    <t>Export rate</t>
  </si>
  <si>
    <t>January</t>
  </si>
  <si>
    <t>February</t>
  </si>
  <si>
    <t>March</t>
  </si>
  <si>
    <t>April</t>
  </si>
  <si>
    <t>May</t>
  </si>
  <si>
    <t>June</t>
  </si>
  <si>
    <t>July</t>
  </si>
  <si>
    <t>August</t>
  </si>
  <si>
    <t>September</t>
  </si>
  <si>
    <t>October</t>
  </si>
  <si>
    <t>November</t>
  </si>
  <si>
    <t>December</t>
  </si>
  <si>
    <t>Oversupply rate function</t>
  </si>
  <si>
    <t>O50</t>
  </si>
  <si>
    <t>PV oversupply</t>
  </si>
  <si>
    <t>Daytime HVAC coverage</t>
  </si>
  <si>
    <t>Solar PV</t>
  </si>
  <si>
    <t>Capacity [kW]</t>
  </si>
  <si>
    <t>Annual yield[kWh]</t>
  </si>
  <si>
    <t>Annual PV dividend</t>
  </si>
  <si>
    <t>Total</t>
  </si>
  <si>
    <t>Import energy avoided [kWh/annum]</t>
  </si>
  <si>
    <t>Month</t>
  </si>
  <si>
    <t>Heating and cooling energy requirements</t>
  </si>
  <si>
    <t>NatHERS energy density [MJ/m2/annum]</t>
  </si>
  <si>
    <t>Assumed HVAC average CoP</t>
  </si>
  <si>
    <t>Occupancy scaling</t>
  </si>
  <si>
    <t>Total HVAC electrical energy for expected occupancy [kWh/annum]</t>
  </si>
  <si>
    <t>Heating energy (electric) [kWh/annum]</t>
  </si>
  <si>
    <t>Cooling energy (electric) [kWh/annum]</t>
  </si>
  <si>
    <t>Winter daily heating electricity [kWh]</t>
  </si>
  <si>
    <t>Summer average daily heating electricity [kWh]</t>
  </si>
  <si>
    <t>Proportion of conditioning hours outside solar availability (winter)</t>
  </si>
  <si>
    <t>Proportion of conditioning hours outside solar availability (summer)</t>
  </si>
  <si>
    <t>Notional heating and cooling energy as a function of star rating</t>
  </si>
  <si>
    <t>source: http://www.nathers.gov.au/files/publications/NatHERS%20Star%20bands.pdf</t>
  </si>
  <si>
    <t>stars</t>
  </si>
  <si>
    <t>density low</t>
  </si>
  <si>
    <t>density high</t>
  </si>
  <si>
    <t>density avg</t>
  </si>
  <si>
    <t>NatHERS Stars</t>
  </si>
  <si>
    <t>Heating&amp; cooling energy density (MJ/m2/annum)</t>
  </si>
  <si>
    <t>low end</t>
  </si>
  <si>
    <t>high end</t>
  </si>
  <si>
    <t>interpolated</t>
  </si>
  <si>
    <t>Other electrical loads</t>
  </si>
  <si>
    <t>Baseline daily energy [kWh]</t>
  </si>
  <si>
    <t>Hot water</t>
  </si>
  <si>
    <t>Heat pump A, 340L tank, load 140L/day (based on Quantum 340-11AC3-134 with CoP about 3, qualifies for 27 STCs)</t>
  </si>
  <si>
    <t>This scenario assumes that heat pump is on timer for daytime boosting and that load never exceeds tank capacity</t>
  </si>
  <si>
    <t xml:space="preserve">Standing loss seasonal variation </t>
  </si>
  <si>
    <t>Consumption [kWh/month]</t>
  </si>
  <si>
    <t>Baseline monthy consumption</t>
  </si>
  <si>
    <t>days/month</t>
  </si>
  <si>
    <t>standing losses</t>
  </si>
  <si>
    <t>Scaled monthly consumption</t>
  </si>
  <si>
    <t>Annual electricity Bill</t>
  </si>
  <si>
    <t>Cooking</t>
  </si>
  <si>
    <t>Daily service charge</t>
  </si>
  <si>
    <t>Annual service fee</t>
  </si>
  <si>
    <t>Net electricity account (inc tax)</t>
  </si>
  <si>
    <t>star rating</t>
  </si>
  <si>
    <t>3 kW</t>
  </si>
  <si>
    <t>4 kW</t>
  </si>
  <si>
    <t>5 kW</t>
  </si>
  <si>
    <t>6 kW</t>
  </si>
  <si>
    <t>KEY INPUTS</t>
  </si>
  <si>
    <t>KEY OUTPUT</t>
  </si>
  <si>
    <t>Common assumptions, data, and derivations</t>
  </si>
  <si>
    <t>HVAC average CoP</t>
  </si>
  <si>
    <t>Total HVAC electrical energy for NatHERS occupancy [kWh/annum]</t>
  </si>
  <si>
    <t>Based on anecdotal evidence, Sanden unit uses 1kWh/day when there is zero load, and ~3kWh/day with full family load.</t>
  </si>
  <si>
    <t>Lights daily energy [kWh/day]</t>
  </si>
  <si>
    <t>Cooking daily energy [kWh/day]</t>
  </si>
  <si>
    <t>Appliances and misc daily energy [kWh/day]</t>
  </si>
  <si>
    <t>0 kW</t>
  </si>
  <si>
    <t>Floor area of home, excl garage [m2]</t>
  </si>
  <si>
    <t>Average standing losses [kWh/day]</t>
  </si>
  <si>
    <t>Occupancy (time proportion)</t>
  </si>
  <si>
    <t>Tony O'Connell &lt;tony@tsconstructions.com.au&gt;</t>
  </si>
  <si>
    <t>Name</t>
  </si>
  <si>
    <t>Richard Keech &lt;richard.keech@gmail.com&gt;</t>
  </si>
  <si>
    <t>Derivation</t>
  </si>
  <si>
    <t>This is based on the earlier model (v1) prepared for Brendan Condon in 2017. That earlier model did not include battery storage</t>
  </si>
  <si>
    <t>Assessment of the energy economics of an efficient home. It includes the impact of PV and battery storage.  The model was designed for assessment of homes at The Cape (liveatthecape.com.au) but can be applied more broadly. It does not look at the capital cost of either the home or the energy equipment. The model is of a home that does not use gas as a fuel.</t>
  </si>
  <si>
    <t>Efficient Electric House Model</t>
  </si>
  <si>
    <t>Solar generation [kWh/annum]</t>
  </si>
  <si>
    <t>Grid import [kWh/annum]</t>
  </si>
  <si>
    <t>OTHER INPUTS</t>
  </si>
  <si>
    <t>Battery</t>
  </si>
  <si>
    <t>Avoided energy spend</t>
  </si>
  <si>
    <t>Direct earning (feed-in tarif)</t>
  </si>
  <si>
    <t>Locale</t>
  </si>
  <si>
    <t>Melbourne</t>
  </si>
  <si>
    <t>Sydney</t>
  </si>
  <si>
    <t>Brisbane</t>
  </si>
  <si>
    <t>Adelaide</t>
  </si>
  <si>
    <t>Perth</t>
  </si>
  <si>
    <t>Hobart</t>
  </si>
  <si>
    <t>Canberra</t>
  </si>
  <si>
    <t>Darwin</t>
  </si>
  <si>
    <t>Index</t>
  </si>
  <si>
    <t>Winter peak sun hours</t>
  </si>
  <si>
    <t>Summer peak sun hours</t>
  </si>
  <si>
    <t>Heating season</t>
  </si>
  <si>
    <t>Cooling season</t>
  </si>
  <si>
    <t>inc-tax rate</t>
  </si>
  <si>
    <t>Savings from PV and battery [per annum]</t>
  </si>
  <si>
    <t>Average day yield [kWh/day]</t>
  </si>
  <si>
    <t>Total NatHERS nominal  thermal energy [MJ/annum]</t>
  </si>
  <si>
    <t>Cape Paterson</t>
  </si>
  <si>
    <t>PV capacity factor for locale</t>
  </si>
  <si>
    <t>Annual total</t>
  </si>
  <si>
    <t>Summer</t>
  </si>
  <si>
    <t>Autumn</t>
  </si>
  <si>
    <t>Winter</t>
  </si>
  <si>
    <t>Spring</t>
  </si>
  <si>
    <t>Generation</t>
  </si>
  <si>
    <t>Period</t>
  </si>
  <si>
    <t>Heating and Cooling</t>
  </si>
  <si>
    <t>Cooling</t>
  </si>
  <si>
    <t>Heating</t>
  </si>
  <si>
    <t>Aultumn</t>
  </si>
  <si>
    <t>Keech 2017 actual heating and cooling.  Occupancy 100% @ 4 people, CoP 3.5, 200m2, 6 stars</t>
  </si>
  <si>
    <t>Modelled</t>
  </si>
  <si>
    <t>Reality check scaling (baselined using Keech 2017 data)</t>
  </si>
  <si>
    <t>Heating:Cooling</t>
  </si>
  <si>
    <t>Daily average</t>
  </si>
  <si>
    <t xml:space="preserve">Heating and cooling </t>
  </si>
  <si>
    <t xml:space="preserve">Hot water </t>
  </si>
  <si>
    <t xml:space="preserve">Refrigeration and standby </t>
  </si>
  <si>
    <t>Lighting</t>
  </si>
  <si>
    <t xml:space="preserve">Appliances and misc </t>
  </si>
  <si>
    <r>
      <t xml:space="preserve">Adjust values in </t>
    </r>
    <r>
      <rPr>
        <sz val="10"/>
        <color theme="6"/>
        <rFont val="Arial"/>
        <family val="2"/>
      </rPr>
      <t>green</t>
    </r>
    <r>
      <rPr>
        <sz val="10"/>
        <rFont val="Arial"/>
        <family val="2"/>
        <charset val="1"/>
      </rPr>
      <t xml:space="preserve"> as required on this sheet and 'Common Assumptions' sheet.</t>
    </r>
  </si>
  <si>
    <t>Consumption</t>
  </si>
  <si>
    <t>A tally of consumption from model and from home-truth sources to allow checking</t>
  </si>
  <si>
    <t>Water pumping</t>
  </si>
  <si>
    <t>Water pumping baseline [kWh/day]</t>
  </si>
  <si>
    <t>Modelled consumption</t>
  </si>
  <si>
    <t>R&amp;S</t>
  </si>
  <si>
    <t>Lights</t>
  </si>
  <si>
    <t>Appliances</t>
  </si>
  <si>
    <t>Pumps</t>
  </si>
  <si>
    <t>This is based on self-consumption rate function from the 'Common Assumptions' sheet</t>
  </si>
  <si>
    <t>Baseline power [W] (Refrigeration and standby)</t>
  </si>
  <si>
    <t>Annual Refrigeration and standby [kWh/annum]</t>
  </si>
  <si>
    <t>Gross Consumption</t>
  </si>
  <si>
    <t>Keech 2017 datum case</t>
  </si>
  <si>
    <t>With calibration settings, the modelled consumption and self-consumption rate should roughly match the datum case</t>
  </si>
  <si>
    <t>self-consumption rate discrepancy</t>
  </si>
  <si>
    <t>SC discrepancy</t>
  </si>
  <si>
    <t>SC50</t>
  </si>
  <si>
    <t>Grid export [kWh/annum]</t>
  </si>
  <si>
    <t>Note: This model assumes home that has: pumped rainwater harvesting, efficient lighting, efficient cooling, efficient electric hot water, efficient electric heating and cooling. Assumes the home does not have: spa, pool,  gas appliances, EV.</t>
  </si>
  <si>
    <t>Battery losses [kWh/annum]</t>
  </si>
  <si>
    <t>Gross consumption [kWh/annum]</t>
  </si>
  <si>
    <t>Seasonal split</t>
  </si>
  <si>
    <t>Season</t>
  </si>
  <si>
    <t>Net supply (I-E) [kWh/annum]</t>
  </si>
  <si>
    <t>Battery utilisation rate function</t>
  </si>
  <si>
    <t>Surplus [kWh/annum]</t>
  </si>
  <si>
    <t>Grid import</t>
  </si>
  <si>
    <t>Underlying grid Import</t>
  </si>
  <si>
    <t>Battery grid import avoided</t>
  </si>
  <si>
    <t>Underlying grid Export</t>
  </si>
  <si>
    <t>Basic self consumption [kWh/annum]</t>
  </si>
  <si>
    <t>Household average daily consumption [kWh]</t>
  </si>
  <si>
    <t>Battery utilisation factor</t>
  </si>
  <si>
    <t>Battery capacity ratio</t>
  </si>
  <si>
    <t>Battery usable capacity  [kWh]</t>
  </si>
  <si>
    <t>PV capacity [kW]</t>
  </si>
  <si>
    <t>NatHERS star rating</t>
  </si>
  <si>
    <t>Battery usable capacity [kWh]</t>
  </si>
  <si>
    <t>Daily avoidable grid energy [kWh]</t>
  </si>
  <si>
    <t>Total of all loads (excluding EVs and battery losses)</t>
  </si>
  <si>
    <t>Annual avoidable grid energy [kWh/annum]</t>
  </si>
  <si>
    <t>Underlying grid import [kWh/annum]</t>
  </si>
  <si>
    <t>Avoided grid import [kWh/annum]</t>
  </si>
  <si>
    <t>Grid export</t>
  </si>
  <si>
    <t>Battery avoided import</t>
  </si>
  <si>
    <t>1 kW</t>
  </si>
  <si>
    <t>2 kW</t>
  </si>
  <si>
    <t>Sensitivity analysis of the self-consumption-rate function</t>
  </si>
  <si>
    <t>Battery losses</t>
  </si>
  <si>
    <t>Battery diminishes export</t>
  </si>
  <si>
    <t>RELAXED</t>
  </si>
  <si>
    <t>CAUTIOUS</t>
  </si>
  <si>
    <t>HVAC usage practice scaling</t>
  </si>
  <si>
    <t>SUPER DILIGENT</t>
  </si>
  <si>
    <t>scaling factor</t>
  </si>
  <si>
    <t>Area scaling</t>
  </si>
  <si>
    <t>Scaling for water pumping use cases</t>
  </si>
  <si>
    <t>Energy usage practice</t>
  </si>
  <si>
    <t>Energy usage practice lookup</t>
  </si>
  <si>
    <t>nominated energy usage practice | scaling</t>
  </si>
  <si>
    <t>Behavioural scaling</t>
  </si>
  <si>
    <t>Battery capacity</t>
  </si>
  <si>
    <t>BUF50</t>
  </si>
  <si>
    <t>Floor area [m2]</t>
  </si>
  <si>
    <t>max annual benefit</t>
  </si>
  <si>
    <t>Well-utilised battery?</t>
  </si>
  <si>
    <t>OUTPUTS</t>
  </si>
  <si>
    <t>Checksum.  Ratio of Actual to modelled HVAC energy (this should be about 100% when set with 6 stars, 200m2 area, CoP 3.5, 4 people, 100% occupancy)</t>
  </si>
  <si>
    <t>Lighting seasonality</t>
  </si>
  <si>
    <t>seaonal split</t>
  </si>
  <si>
    <t>Monthly average</t>
  </si>
  <si>
    <t>To calibrate model, set PV = 5kW, star rating = 6, floor area = 200, occupancy = 100% and 4 people, locale=Melbourne, behaviour=relaxed, Cop=3.5</t>
  </si>
  <si>
    <t>Checking on v1.9.5 of this model against Sunulator</t>
  </si>
  <si>
    <t>Generation per kW of capacity</t>
  </si>
  <si>
    <t>Battery charge from solar.</t>
  </si>
  <si>
    <t>Battery charge from grid.</t>
  </si>
  <si>
    <t>Energy wasted in the battery - resistance etc.</t>
  </si>
  <si>
    <t>Battery discharge for consumption.</t>
  </si>
  <si>
    <t>Battery discharge to grid.</t>
  </si>
  <si>
    <t>Solar consumed on-site inc. batt charging.</t>
  </si>
  <si>
    <t>Net consumption.</t>
  </si>
  <si>
    <t>Export to grid.</t>
  </si>
  <si>
    <t>Import from grid.</t>
  </si>
  <si>
    <t>Export as a % of solar generation</t>
  </si>
  <si>
    <t>Sunulator Results - Energy.  Average daily figures in kWh.</t>
  </si>
  <si>
    <t>No battery</t>
  </si>
  <si>
    <t>Settings: PV = 15kW, NatHERS = 6, Occupancy = 4 @ 100%, CoP=3.5, SC50=2.93, BU50=2.0, behaviour=relaxed</t>
  </si>
  <si>
    <t>Battery utilisation rate</t>
  </si>
  <si>
    <t>This model results (SC50=2.93; BUF50=2.0)</t>
  </si>
  <si>
    <t>This model results (SC50=2.93; BUF50=1.05)</t>
  </si>
  <si>
    <t>This model results (SC50=2.93; BUF50=1.00)</t>
  </si>
  <si>
    <t>Zero-battery self consumption rate</t>
  </si>
  <si>
    <t>This number is the key output from the battery model which is used to determine how much of the battery capacity gets used.</t>
  </si>
  <si>
    <t>Battery utilisation</t>
  </si>
  <si>
    <t>Nominal battery-pack efficiency</t>
  </si>
  <si>
    <t>2.0.0</t>
  </si>
  <si>
    <t>Relationship between heat pump energy performance and star rating</t>
  </si>
  <si>
    <t>CoP</t>
  </si>
  <si>
    <t>Stars</t>
  </si>
  <si>
    <t>US7 specs: https://www.daikin.com.au/our-product-range/split-system-air-conditioning/us7#tech-specs</t>
  </si>
  <si>
    <t>Refer: "Appliance Energy Consumption in Australia: Equations for Appliance Star Ratings", September 2009, Energy Efficient Strategies for E3 - page 3.</t>
  </si>
  <si>
    <t>&lt;- Daikin L series (smallest version, 2kW cooling, EER=4.44, CoP=4.43)</t>
  </si>
  <si>
    <t>&lt;- Daikin L series (largest version, 6kW cooling, EER=3.55)</t>
  </si>
  <si>
    <t>2.1.0</t>
  </si>
  <si>
    <t>Copyright</t>
  </si>
  <si>
    <t>Richard Keech  2018</t>
  </si>
  <si>
    <t>Information here is intended to inform the selection of the CoP value on the 'Common Assumptions' sheet.</t>
  </si>
  <si>
    <t>&lt;- Daikin US7 (6.3 kW version in cooling mode EER=4.24), Daikin L series (largest version, 7kW heating CoP=4.05)</t>
  </si>
  <si>
    <t>&lt;- Daikin US7 (5.0 kW version, cooling EER=5.15, heating CoP=5.05)</t>
  </si>
  <si>
    <t>&lt;- Daikin US7 (3.6kW version, cooling EER=5.95, heating CoP=5.81)</t>
  </si>
  <si>
    <t>&lt;- Daikin US7 (6.3 kW version in heating mode CoP=4.60)</t>
  </si>
  <si>
    <t>Based on  AS/NZS 3823.2-2011 - Applies only to systems with thermal capacity less than 65kW</t>
  </si>
  <si>
    <t>2.1.1</t>
  </si>
  <si>
    <t>Updated formatting and comments only</t>
  </si>
  <si>
    <t>Initial Release</t>
  </si>
  <si>
    <t>Added 'AC stars' tab for information about representative aircon CoPs</t>
  </si>
  <si>
    <t>2.1.2</t>
  </si>
  <si>
    <t>Updated chart on 'Reference case' sheet</t>
  </si>
  <si>
    <t>8 kW</t>
  </si>
  <si>
    <t>10 kW</t>
  </si>
  <si>
    <t>kWh</t>
  </si>
  <si>
    <t>$</t>
  </si>
  <si>
    <t>2.1.3</t>
  </si>
  <si>
    <t>Minor tweaks</t>
  </si>
  <si>
    <t>Lights total energy [kWh/annum]</t>
  </si>
  <si>
    <t>Cooking total energy [kWh/annum]</t>
  </si>
  <si>
    <t>Appliances total [kWh/annum]</t>
  </si>
  <si>
    <t>Water pumping total energy [kWh/annum]</t>
  </si>
  <si>
    <t>Zone 64 for Cape Paterson</t>
  </si>
  <si>
    <t>Zone 21 for Melbourne</t>
  </si>
  <si>
    <t>Zone 17 for Sydney</t>
  </si>
  <si>
    <t>Zone 24 for Canberra</t>
  </si>
  <si>
    <t>Zone 16 for Adelaide</t>
  </si>
  <si>
    <t>Zone 10 for Brisbane</t>
  </si>
  <si>
    <t>Zone 13 for Perth</t>
  </si>
  <si>
    <t>Zone 1 for Darwin</t>
  </si>
  <si>
    <t>2.2.0</t>
  </si>
  <si>
    <t>Solar directional scaling</t>
  </si>
  <si>
    <t>Tweak this on SC-rate function sheet</t>
  </si>
  <si>
    <t>Comparitive factors for different locales</t>
  </si>
  <si>
    <t>Locale index</t>
  </si>
  <si>
    <t>Zone 26 for Hobart</t>
  </si>
  <si>
    <t>PV Capacity Factor</t>
  </si>
  <si>
    <t>PV array direction</t>
  </si>
  <si>
    <t>5kW 2kWh</t>
  </si>
  <si>
    <t>5kW 5kWh</t>
  </si>
  <si>
    <t>5kW 10kWh</t>
  </si>
  <si>
    <t>Tweak as required</t>
  </si>
  <si>
    <t>Support for other climate zones</t>
  </si>
  <si>
    <r>
      <t xml:space="preserve">(adjust only assumptions in </t>
    </r>
    <r>
      <rPr>
        <sz val="10"/>
        <color theme="6"/>
        <rFont val="Arial"/>
        <family val="2"/>
      </rPr>
      <t>green</t>
    </r>
    <r>
      <rPr>
        <sz val="10"/>
        <rFont val="Arial"/>
        <family val="2"/>
      </rPr>
      <t xml:space="preserve"> as 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</si>
</sst>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3" formatCode="_-* #,##0.00_-;\-* #,##0.00_-;_-* &quot;-&quot;??_-;_-@_-"/>
    <numFmt numFmtId="164" formatCode="yyyy\-mm\-dd"/>
    <numFmt numFmtId="165" formatCode="[$$-C09]#,##0;[Red]\-[$$-C09]#,##0"/>
    <numFmt numFmtId="166" formatCode="00"/>
    <numFmt numFmtId="167" formatCode="0.0%"/>
    <numFmt numFmtId="168" formatCode="[$$-C09]#,##0.00;[Red]\-[$$-C09]#,##0.00"/>
    <numFmt numFmtId="169" formatCode="0.0"/>
    <numFmt numFmtId="170" formatCode="#,##0.0"/>
    <numFmt numFmtId="171" formatCode="&quot;$&quot;#,##0"/>
    <numFmt numFmtId="172" formatCode="[$$-C09]#,##0;\-[$$-C09]#,##0"/>
    <numFmt numFmtId="173" formatCode="&quot;$&quot;#,##0.00"/>
    <numFmt numFmtId="174" formatCode="_(* #,##0.00_);_(* \(#,##0.00\);_(* &quot;-&quot;??_);_(@_)"/>
    <numFmt numFmtId="176" formatCode="#,##0_ ;[Red]\-#,##0\ "/>
  </numFmts>
  <fonts count="27" x14ac:knownFonts="1">
    <font>
      <sz val="10"/>
      <name val="Arial"/>
      <family val="2"/>
      <charset val="1"/>
    </font>
    <font>
      <sz val="11"/>
      <color theme="1"/>
      <name val="Calibri"/>
      <family val="2"/>
      <scheme val="minor"/>
    </font>
    <font>
      <sz val="11"/>
      <color theme="1"/>
      <name val="Calibri"/>
      <family val="2"/>
      <scheme val="minor"/>
    </font>
    <font>
      <sz val="11"/>
      <color theme="1"/>
      <name val="Calibri"/>
      <family val="2"/>
      <scheme val="minor"/>
    </font>
    <font>
      <i/>
      <sz val="10"/>
      <name val="Arial"/>
      <family val="2"/>
      <charset val="1"/>
    </font>
    <font>
      <b/>
      <sz val="10"/>
      <name val="Arial"/>
      <family val="2"/>
      <charset val="1"/>
    </font>
    <font>
      <b/>
      <i/>
      <sz val="10"/>
      <name val="Arial"/>
      <family val="2"/>
      <charset val="1"/>
    </font>
    <font>
      <sz val="10"/>
      <color rgb="FF0000FF"/>
      <name val="Arial"/>
      <family val="2"/>
      <charset val="1"/>
    </font>
    <font>
      <sz val="10"/>
      <name val="Arial"/>
      <family val="2"/>
    </font>
    <font>
      <b/>
      <sz val="10"/>
      <name val="Arial"/>
      <family val="2"/>
    </font>
    <font>
      <sz val="8"/>
      <color indexed="81"/>
      <name val="Tahoma"/>
      <family val="2"/>
    </font>
    <font>
      <b/>
      <sz val="8"/>
      <color indexed="81"/>
      <name val="Tahoma"/>
      <family val="2"/>
    </font>
    <font>
      <i/>
      <sz val="10"/>
      <name val="Arial"/>
      <family val="2"/>
    </font>
    <font>
      <b/>
      <i/>
      <sz val="10"/>
      <name val="Arial"/>
      <family val="2"/>
    </font>
    <font>
      <sz val="9"/>
      <color indexed="81"/>
      <name val="Tahoma"/>
      <family val="2"/>
    </font>
    <font>
      <b/>
      <sz val="9"/>
      <color indexed="81"/>
      <name val="Tahoma"/>
      <family val="2"/>
    </font>
    <font>
      <sz val="8"/>
      <name val="Arial"/>
      <family val="2"/>
      <charset val="1"/>
    </font>
    <font>
      <b/>
      <i/>
      <sz val="8"/>
      <name val="Arial"/>
      <family val="2"/>
    </font>
    <font>
      <sz val="8"/>
      <name val="Arial"/>
      <family val="2"/>
    </font>
    <font>
      <sz val="10"/>
      <color theme="6"/>
      <name val="Arial"/>
      <family val="2"/>
    </font>
    <font>
      <sz val="7"/>
      <name val="Arial"/>
      <family val="2"/>
      <charset val="1"/>
    </font>
    <font>
      <sz val="10"/>
      <name val="Arial"/>
      <family val="2"/>
      <charset val="1"/>
    </font>
    <font>
      <b/>
      <i/>
      <sz val="11"/>
      <color theme="1"/>
      <name val="Calibri"/>
      <family val="2"/>
      <scheme val="minor"/>
    </font>
    <font>
      <sz val="9"/>
      <color indexed="81"/>
      <name val="Tahoma"/>
      <charset val="1"/>
    </font>
    <font>
      <b/>
      <sz val="9"/>
      <color indexed="81"/>
      <name val="Tahoma"/>
      <charset val="1"/>
    </font>
    <font>
      <b/>
      <sz val="12"/>
      <name val="Arial"/>
      <family val="2"/>
    </font>
    <font>
      <b/>
      <sz val="9"/>
      <color theme="1"/>
      <name val="Calibri"/>
      <family val="2"/>
      <scheme val="minor"/>
    </font>
  </fonts>
  <fills count="24">
    <fill>
      <patternFill patternType="none"/>
    </fill>
    <fill>
      <patternFill patternType="gray125"/>
    </fill>
    <fill>
      <patternFill patternType="solid">
        <fgColor rgb="FFCCFF00"/>
        <bgColor rgb="FFFFFF00"/>
      </patternFill>
    </fill>
    <fill>
      <patternFill patternType="solid">
        <fgColor rgb="FFFFCC00"/>
        <bgColor rgb="FFFFFF00"/>
      </patternFill>
    </fill>
    <fill>
      <patternFill patternType="solid">
        <fgColor rgb="FFCCFF66"/>
        <bgColor rgb="FFCCFF00"/>
      </patternFill>
    </fill>
    <fill>
      <patternFill patternType="solid">
        <fgColor rgb="FF66FFFF"/>
        <bgColor rgb="FF33CCCC"/>
      </patternFill>
    </fill>
    <fill>
      <patternFill patternType="solid">
        <fgColor theme="6" tint="0.59999389629810485"/>
        <bgColor rgb="FFFFFF00"/>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rgb="FFCCFF00"/>
      </patternFill>
    </fill>
    <fill>
      <patternFill patternType="solid">
        <fgColor theme="9" tint="0.59999389629810485"/>
        <bgColor rgb="FFFFFF00"/>
      </patternFill>
    </fill>
    <fill>
      <patternFill patternType="solid">
        <fgColor theme="0"/>
        <bgColor rgb="FFCCFF00"/>
      </patternFill>
    </fill>
    <fill>
      <patternFill patternType="solid">
        <fgColor theme="0"/>
        <bgColor rgb="FFFFFF00"/>
      </patternFill>
    </fill>
    <fill>
      <patternFill patternType="solid">
        <fgColor theme="6"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CD5B4"/>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2"/>
        <bgColor indexed="64"/>
      </patternFill>
    </fill>
    <fill>
      <patternFill patternType="solid">
        <fgColor theme="0"/>
        <bgColor rgb="FF33CCCC"/>
      </patternFill>
    </fill>
    <fill>
      <patternFill patternType="solid">
        <fgColor theme="0"/>
        <bgColor indexed="64"/>
      </patternFill>
    </fill>
  </fills>
  <borders count="25">
    <border>
      <left/>
      <right/>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thin">
        <color indexed="64"/>
      </right>
      <top style="thin">
        <color indexed="64"/>
      </top>
      <bottom/>
      <diagonal/>
    </border>
    <border>
      <left style="hair">
        <color auto="1"/>
      </left>
      <right style="thin">
        <color indexed="64"/>
      </right>
      <top/>
      <bottom style="thin">
        <color indexed="64"/>
      </bottom>
      <diagonal/>
    </border>
  </borders>
  <cellStyleXfs count="2">
    <xf numFmtId="0" fontId="0" fillId="0" borderId="0"/>
    <xf numFmtId="43" fontId="21" fillId="0" borderId="0" applyFont="0" applyFill="0" applyBorder="0" applyAlignment="0" applyProtection="0"/>
  </cellStyleXfs>
  <cellXfs count="316">
    <xf numFmtId="0" fontId="0" fillId="0" borderId="0" xfId="0"/>
    <xf numFmtId="0" fontId="4" fillId="0" borderId="0" xfId="0" applyFont="1"/>
    <xf numFmtId="0" fontId="5" fillId="0" borderId="0" xfId="0" applyFont="1"/>
    <xf numFmtId="164" fontId="0" fillId="0" borderId="0" xfId="0" applyNumberFormat="1" applyAlignment="1">
      <alignment horizontal="left"/>
    </xf>
    <xf numFmtId="0" fontId="6" fillId="0" borderId="0" xfId="0" applyFont="1"/>
    <xf numFmtId="0" fontId="0" fillId="2" borderId="0" xfId="0" applyFill="1"/>
    <xf numFmtId="165" fontId="0" fillId="0" borderId="0" xfId="0" applyNumberFormat="1"/>
    <xf numFmtId="0" fontId="0" fillId="0" borderId="1" xfId="0" applyFont="1" applyBorder="1"/>
    <xf numFmtId="0" fontId="0" fillId="0" borderId="2" xfId="0" applyFont="1" applyBorder="1"/>
    <xf numFmtId="1" fontId="0" fillId="0" borderId="0" xfId="0" applyNumberFormat="1"/>
    <xf numFmtId="167" fontId="0" fillId="0" borderId="0" xfId="0" applyNumberFormat="1"/>
    <xf numFmtId="168" fontId="0" fillId="2" borderId="0" xfId="0" applyNumberFormat="1" applyFill="1"/>
    <xf numFmtId="168" fontId="0" fillId="4" borderId="0" xfId="0" applyNumberFormat="1" applyFill="1"/>
    <xf numFmtId="9" fontId="0" fillId="0" borderId="0" xfId="0" applyNumberFormat="1"/>
    <xf numFmtId="169" fontId="0" fillId="0" borderId="0" xfId="0" applyNumberFormat="1"/>
    <xf numFmtId="0" fontId="0" fillId="2" borderId="0" xfId="0" applyFont="1" applyFill="1"/>
    <xf numFmtId="0" fontId="0" fillId="5" borderId="0" xfId="0" applyFill="1"/>
    <xf numFmtId="0" fontId="0" fillId="0" borderId="5" xfId="0" applyFont="1" applyBorder="1" applyAlignment="1">
      <alignment wrapText="1"/>
    </xf>
    <xf numFmtId="0" fontId="0" fillId="0" borderId="6" xfId="0" applyBorder="1"/>
    <xf numFmtId="165" fontId="0" fillId="0" borderId="6" xfId="0" applyNumberFormat="1" applyBorder="1"/>
    <xf numFmtId="1" fontId="0" fillId="0" borderId="7" xfId="0" applyNumberFormat="1" applyBorder="1"/>
    <xf numFmtId="2" fontId="0" fillId="0" borderId="0" xfId="0" applyNumberFormat="1"/>
    <xf numFmtId="0" fontId="0" fillId="0" borderId="0" xfId="0" applyFont="1"/>
    <xf numFmtId="0" fontId="7" fillId="0" borderId="0" xfId="0" applyFont="1"/>
    <xf numFmtId="0" fontId="4" fillId="0" borderId="0" xfId="0" applyFont="1" applyAlignment="1">
      <alignment horizontal="right"/>
    </xf>
    <xf numFmtId="0" fontId="4" fillId="0" borderId="0" xfId="0" applyFont="1" applyBorder="1" applyAlignment="1">
      <alignment horizontal="right"/>
    </xf>
    <xf numFmtId="0" fontId="0" fillId="0" borderId="5" xfId="0" applyFont="1" applyBorder="1"/>
    <xf numFmtId="0" fontId="0" fillId="0" borderId="0" xfId="0" applyFont="1" applyBorder="1"/>
    <xf numFmtId="170" fontId="0" fillId="0" borderId="0" xfId="0" applyNumberFormat="1"/>
    <xf numFmtId="0" fontId="5" fillId="0" borderId="0" xfId="0" applyFont="1" applyAlignment="1">
      <alignment vertical="top" wrapText="1"/>
    </xf>
    <xf numFmtId="169" fontId="0" fillId="5" borderId="0" xfId="0" applyNumberFormat="1" applyFill="1"/>
    <xf numFmtId="169" fontId="0" fillId="0" borderId="0" xfId="0" applyNumberFormat="1"/>
    <xf numFmtId="0" fontId="4" fillId="0" borderId="0" xfId="0" applyFont="1" applyAlignment="1">
      <alignment vertical="top"/>
    </xf>
    <xf numFmtId="0" fontId="4" fillId="0" borderId="0" xfId="0" applyFont="1" applyAlignment="1">
      <alignment horizontal="right" vertical="top" wrapText="1"/>
    </xf>
    <xf numFmtId="0" fontId="4" fillId="0" borderId="0" xfId="0" applyFont="1" applyAlignment="1">
      <alignment horizontal="right" vertical="top"/>
    </xf>
    <xf numFmtId="1" fontId="0" fillId="0" borderId="0" xfId="0" applyNumberFormat="1"/>
    <xf numFmtId="168" fontId="0" fillId="0" borderId="0" xfId="0" applyNumberFormat="1"/>
    <xf numFmtId="168" fontId="0" fillId="0" borderId="4" xfId="0" applyNumberFormat="1" applyBorder="1"/>
    <xf numFmtId="169" fontId="0" fillId="0" borderId="9" xfId="0" applyNumberFormat="1" applyBorder="1"/>
    <xf numFmtId="169" fontId="0" fillId="0" borderId="10" xfId="0" applyNumberFormat="1" applyBorder="1"/>
    <xf numFmtId="169" fontId="0" fillId="0" borderId="11" xfId="0" applyNumberFormat="1" applyBorder="1"/>
    <xf numFmtId="0" fontId="0" fillId="0" borderId="8" xfId="0" applyBorder="1"/>
    <xf numFmtId="0" fontId="0" fillId="0" borderId="9" xfId="0" applyBorder="1"/>
    <xf numFmtId="0" fontId="0" fillId="0" borderId="11" xfId="0" applyBorder="1"/>
    <xf numFmtId="0" fontId="0" fillId="0" borderId="16" xfId="0" applyBorder="1" applyAlignment="1">
      <alignment horizontal="center"/>
    </xf>
    <xf numFmtId="0" fontId="0" fillId="0" borderId="17" xfId="0" applyBorder="1" applyAlignment="1">
      <alignment horizontal="center"/>
    </xf>
    <xf numFmtId="0" fontId="9" fillId="0" borderId="0" xfId="0" applyFont="1"/>
    <xf numFmtId="0" fontId="0" fillId="0" borderId="10" xfId="0" applyBorder="1"/>
    <xf numFmtId="0" fontId="0" fillId="0" borderId="13" xfId="0" applyBorder="1"/>
    <xf numFmtId="1" fontId="0" fillId="0" borderId="0" xfId="0" applyNumberFormat="1" applyBorder="1"/>
    <xf numFmtId="1" fontId="0" fillId="0" borderId="14" xfId="0" applyNumberFormat="1" applyBorder="1"/>
    <xf numFmtId="0" fontId="0" fillId="7" borderId="8" xfId="0" applyFill="1" applyBorder="1"/>
    <xf numFmtId="0" fontId="0" fillId="7" borderId="10" xfId="0" applyFill="1" applyBorder="1"/>
    <xf numFmtId="0" fontId="0" fillId="7" borderId="12" xfId="0" applyFill="1" applyBorder="1"/>
    <xf numFmtId="165" fontId="0" fillId="8" borderId="18" xfId="0" applyNumberFormat="1" applyFill="1" applyBorder="1"/>
    <xf numFmtId="0" fontId="8" fillId="0" borderId="0" xfId="0" applyFont="1"/>
    <xf numFmtId="0" fontId="0" fillId="0" borderId="0" xfId="0" applyBorder="1"/>
    <xf numFmtId="169" fontId="0" fillId="0" borderId="0" xfId="0" applyNumberFormat="1" applyBorder="1"/>
    <xf numFmtId="0" fontId="6" fillId="7" borderId="8" xfId="0" applyFont="1" applyFill="1" applyBorder="1"/>
    <xf numFmtId="0" fontId="0" fillId="7" borderId="9" xfId="0" applyFill="1" applyBorder="1"/>
    <xf numFmtId="167" fontId="0" fillId="7" borderId="9" xfId="0" applyNumberFormat="1" applyFill="1" applyBorder="1"/>
    <xf numFmtId="0" fontId="0" fillId="7" borderId="11" xfId="0" applyFont="1" applyFill="1" applyBorder="1"/>
    <xf numFmtId="167" fontId="0" fillId="7" borderId="0" xfId="0" applyNumberFormat="1" applyFill="1" applyBorder="1"/>
    <xf numFmtId="167" fontId="0" fillId="7" borderId="12" xfId="0" applyNumberFormat="1" applyFill="1" applyBorder="1"/>
    <xf numFmtId="0" fontId="0" fillId="7" borderId="13" xfId="0" applyFont="1" applyFill="1" applyBorder="1"/>
    <xf numFmtId="167" fontId="0" fillId="7" borderId="15" xfId="0" applyNumberFormat="1" applyFill="1" applyBorder="1"/>
    <xf numFmtId="169" fontId="0" fillId="7" borderId="11" xfId="0" applyNumberFormat="1" applyFill="1" applyBorder="1"/>
    <xf numFmtId="169" fontId="0" fillId="7" borderId="13" xfId="0" applyNumberFormat="1" applyFill="1" applyBorder="1"/>
    <xf numFmtId="167" fontId="0" fillId="7" borderId="10" xfId="0" applyNumberFormat="1" applyFill="1" applyBorder="1"/>
    <xf numFmtId="170" fontId="0" fillId="7" borderId="11" xfId="0" applyNumberFormat="1" applyFill="1" applyBorder="1"/>
    <xf numFmtId="170" fontId="0" fillId="7" borderId="13" xfId="0" applyNumberFormat="1" applyFill="1" applyBorder="1"/>
    <xf numFmtId="0" fontId="0" fillId="6" borderId="0" xfId="0" applyFill="1" applyBorder="1"/>
    <xf numFmtId="0" fontId="13" fillId="7" borderId="8" xfId="0" applyFont="1" applyFill="1" applyBorder="1"/>
    <xf numFmtId="0" fontId="0" fillId="0" borderId="14" xfId="0" applyBorder="1"/>
    <xf numFmtId="0" fontId="0" fillId="0" borderId="0" xfId="0" applyFill="1"/>
    <xf numFmtId="1" fontId="0" fillId="10" borderId="0" xfId="0" applyNumberFormat="1" applyFill="1"/>
    <xf numFmtId="0" fontId="0" fillId="11" borderId="0" xfId="0" applyFill="1"/>
    <xf numFmtId="0" fontId="0" fillId="12" borderId="0" xfId="0" applyFill="1"/>
    <xf numFmtId="169" fontId="0" fillId="0" borderId="0" xfId="0" applyNumberFormat="1" applyAlignment="1">
      <alignment horizontal="left"/>
    </xf>
    <xf numFmtId="0" fontId="0" fillId="13" borderId="0" xfId="0" applyFill="1"/>
    <xf numFmtId="0" fontId="0" fillId="14" borderId="0" xfId="0" applyFill="1"/>
    <xf numFmtId="171" fontId="0" fillId="0" borderId="0" xfId="0" applyNumberFormat="1"/>
    <xf numFmtId="169" fontId="0" fillId="0" borderId="0" xfId="0" applyNumberFormat="1" applyFill="1" applyBorder="1"/>
    <xf numFmtId="0" fontId="12" fillId="0" borderId="0" xfId="0" applyFont="1"/>
    <xf numFmtId="0" fontId="0" fillId="0" borderId="0" xfId="0" applyAlignment="1">
      <alignment wrapText="1"/>
    </xf>
    <xf numFmtId="0" fontId="8" fillId="0" borderId="0" xfId="0" applyFont="1" applyAlignment="1">
      <alignment wrapText="1"/>
    </xf>
    <xf numFmtId="167" fontId="0" fillId="14" borderId="0" xfId="0" applyNumberFormat="1" applyFill="1"/>
    <xf numFmtId="0" fontId="17" fillId="0" borderId="8" xfId="0" applyFont="1" applyBorder="1" applyAlignment="1">
      <alignment vertical="top"/>
    </xf>
    <xf numFmtId="0" fontId="17" fillId="0" borderId="9" xfId="0" applyFont="1" applyBorder="1" applyAlignment="1">
      <alignment vertical="top"/>
    </xf>
    <xf numFmtId="0" fontId="18" fillId="0" borderId="8" xfId="0" applyFont="1" applyBorder="1" applyAlignment="1">
      <alignment horizontal="left"/>
    </xf>
    <xf numFmtId="0" fontId="18" fillId="0" borderId="9" xfId="0" applyFont="1" applyBorder="1"/>
    <xf numFmtId="0" fontId="18" fillId="0" borderId="11" xfId="0" applyFont="1" applyBorder="1" applyAlignment="1">
      <alignment horizontal="left"/>
    </xf>
    <xf numFmtId="0" fontId="18" fillId="0" borderId="0" xfId="0" applyFont="1" applyBorder="1"/>
    <xf numFmtId="0" fontId="18" fillId="0" borderId="13" xfId="0" applyFont="1" applyBorder="1" applyAlignment="1">
      <alignment horizontal="left"/>
    </xf>
    <xf numFmtId="0" fontId="18" fillId="0" borderId="14" xfId="0" applyFont="1" applyBorder="1"/>
    <xf numFmtId="0" fontId="17" fillId="0" borderId="9" xfId="0" applyFont="1" applyBorder="1" applyAlignment="1">
      <alignment vertical="top" wrapText="1"/>
    </xf>
    <xf numFmtId="167" fontId="18" fillId="0" borderId="0" xfId="0" applyNumberFormat="1" applyFont="1" applyBorder="1"/>
    <xf numFmtId="167" fontId="18" fillId="0" borderId="9" xfId="0" applyNumberFormat="1" applyFont="1" applyBorder="1"/>
    <xf numFmtId="167" fontId="18" fillId="0" borderId="14" xfId="0" applyNumberFormat="1" applyFont="1" applyBorder="1"/>
    <xf numFmtId="167" fontId="0" fillId="0" borderId="0" xfId="0" applyNumberFormat="1" applyBorder="1"/>
    <xf numFmtId="0" fontId="17" fillId="0" borderId="9" xfId="0" applyFont="1" applyBorder="1" applyAlignment="1">
      <alignment wrapText="1"/>
    </xf>
    <xf numFmtId="0" fontId="18" fillId="0" borderId="12" xfId="0" applyFont="1" applyBorder="1"/>
    <xf numFmtId="0" fontId="18" fillId="0" borderId="15" xfId="0" applyFont="1" applyBorder="1"/>
    <xf numFmtId="0" fontId="18" fillId="0" borderId="10" xfId="0" applyFont="1" applyBorder="1"/>
    <xf numFmtId="0" fontId="18" fillId="0" borderId="0" xfId="0" applyFont="1" applyFill="1" applyBorder="1"/>
    <xf numFmtId="0" fontId="17" fillId="0" borderId="10" xfId="0" applyFont="1" applyFill="1" applyBorder="1" applyAlignment="1">
      <alignment wrapText="1"/>
    </xf>
    <xf numFmtId="0" fontId="18" fillId="0" borderId="12" xfId="0" applyFont="1" applyFill="1" applyBorder="1"/>
    <xf numFmtId="0" fontId="17" fillId="0" borderId="16" xfId="0" applyFont="1" applyFill="1" applyBorder="1" applyAlignment="1">
      <alignment wrapText="1"/>
    </xf>
    <xf numFmtId="0" fontId="13" fillId="0" borderId="0" xfId="0" applyFont="1" applyBorder="1" applyAlignment="1">
      <alignment vertical="top"/>
    </xf>
    <xf numFmtId="0" fontId="0" fillId="0" borderId="0" xfId="0" applyBorder="1" applyAlignment="1">
      <alignment horizontal="right"/>
    </xf>
    <xf numFmtId="0" fontId="16" fillId="0" borderId="0" xfId="0" applyFont="1" applyBorder="1"/>
    <xf numFmtId="0" fontId="13" fillId="0" borderId="0" xfId="0" applyFont="1" applyBorder="1" applyAlignment="1">
      <alignment wrapText="1"/>
    </xf>
    <xf numFmtId="169" fontId="0" fillId="3" borderId="6" xfId="0" applyNumberFormat="1" applyFill="1" applyBorder="1"/>
    <xf numFmtId="169" fontId="0" fillId="6" borderId="13" xfId="0" applyNumberFormat="1" applyFill="1" applyBorder="1"/>
    <xf numFmtId="0" fontId="18" fillId="0" borderId="14" xfId="0" applyFont="1" applyFill="1" applyBorder="1"/>
    <xf numFmtId="9" fontId="0" fillId="13" borderId="0" xfId="0" applyNumberFormat="1" applyFill="1"/>
    <xf numFmtId="9" fontId="0" fillId="12" borderId="0" xfId="0" applyNumberFormat="1" applyFill="1"/>
    <xf numFmtId="0" fontId="0" fillId="0" borderId="12" xfId="0" applyBorder="1"/>
    <xf numFmtId="0" fontId="9" fillId="0" borderId="13" xfId="0" applyFont="1" applyBorder="1"/>
    <xf numFmtId="0" fontId="9" fillId="0" borderId="14" xfId="0" applyFont="1" applyBorder="1"/>
    <xf numFmtId="0" fontId="9" fillId="0" borderId="15" xfId="0" applyFont="1" applyBorder="1"/>
    <xf numFmtId="9" fontId="16" fillId="0" borderId="0" xfId="0" applyNumberFormat="1" applyFont="1"/>
    <xf numFmtId="4" fontId="0" fillId="0" borderId="0" xfId="0" applyNumberFormat="1"/>
    <xf numFmtId="0" fontId="13" fillId="0" borderId="0" xfId="0" applyFont="1"/>
    <xf numFmtId="0" fontId="9" fillId="0" borderId="3" xfId="0" applyFont="1" applyBorder="1"/>
    <xf numFmtId="0" fontId="0" fillId="15" borderId="0" xfId="0" applyFill="1"/>
    <xf numFmtId="0" fontId="0" fillId="0" borderId="0" xfId="0" applyFill="1" applyBorder="1"/>
    <xf numFmtId="0" fontId="0" fillId="0" borderId="0" xfId="0" applyAlignment="1">
      <alignment vertical="top"/>
    </xf>
    <xf numFmtId="0" fontId="0" fillId="0" borderId="0" xfId="0" applyAlignment="1">
      <alignment vertical="top" wrapText="1"/>
    </xf>
    <xf numFmtId="0" fontId="0" fillId="16" borderId="0" xfId="0" applyFill="1"/>
    <xf numFmtId="169" fontId="9" fillId="16" borderId="18" xfId="0" applyNumberFormat="1" applyFont="1" applyFill="1" applyBorder="1"/>
    <xf numFmtId="1" fontId="5" fillId="16" borderId="18" xfId="0" applyNumberFormat="1" applyFont="1" applyFill="1" applyBorder="1"/>
    <xf numFmtId="1" fontId="9" fillId="16" borderId="0" xfId="0" applyNumberFormat="1" applyFont="1" applyFill="1"/>
    <xf numFmtId="1" fontId="9" fillId="16" borderId="18" xfId="0" applyNumberFormat="1" applyFont="1" applyFill="1" applyBorder="1"/>
    <xf numFmtId="166" fontId="9" fillId="16" borderId="18" xfId="0" applyNumberFormat="1" applyFont="1" applyFill="1" applyBorder="1"/>
    <xf numFmtId="169" fontId="0" fillId="16" borderId="11" xfId="0" applyNumberFormat="1" applyFill="1" applyBorder="1"/>
    <xf numFmtId="167" fontId="0" fillId="16" borderId="0" xfId="0" applyNumberFormat="1" applyFill="1" applyBorder="1"/>
    <xf numFmtId="167" fontId="0" fillId="0" borderId="18" xfId="0" applyNumberFormat="1" applyBorder="1" applyAlignment="1">
      <alignment vertical="top"/>
    </xf>
    <xf numFmtId="9" fontId="9" fillId="16" borderId="18" xfId="0" applyNumberFormat="1" applyFont="1" applyFill="1" applyBorder="1"/>
    <xf numFmtId="1" fontId="0" fillId="16" borderId="0" xfId="0" applyNumberFormat="1" applyFill="1"/>
    <xf numFmtId="167" fontId="0" fillId="16" borderId="0" xfId="0" applyNumberFormat="1" applyFill="1"/>
    <xf numFmtId="0" fontId="0" fillId="17" borderId="0" xfId="0" applyFill="1"/>
    <xf numFmtId="1" fontId="0" fillId="17" borderId="0" xfId="0" applyNumberFormat="1" applyFill="1"/>
    <xf numFmtId="1" fontId="9" fillId="17" borderId="0" xfId="0" applyNumberFormat="1" applyFont="1" applyFill="1"/>
    <xf numFmtId="167" fontId="0" fillId="17" borderId="0" xfId="0" applyNumberFormat="1" applyFill="1"/>
    <xf numFmtId="2" fontId="0" fillId="6" borderId="0" xfId="0" applyNumberFormat="1" applyFill="1" applyBorder="1"/>
    <xf numFmtId="0" fontId="0" fillId="0" borderId="10" xfId="0" applyBorder="1" applyAlignment="1">
      <alignment horizontal="center" vertical="center"/>
    </xf>
    <xf numFmtId="0" fontId="0" fillId="0" borderId="12" xfId="0" applyBorder="1" applyAlignment="1">
      <alignment horizontal="center" vertical="center"/>
    </xf>
    <xf numFmtId="1" fontId="0" fillId="0" borderId="0" xfId="0" applyNumberFormat="1" applyFill="1"/>
    <xf numFmtId="166" fontId="0" fillId="0" borderId="0" xfId="0" applyNumberFormat="1" applyFill="1"/>
    <xf numFmtId="0" fontId="12" fillId="0" borderId="9" xfId="0" applyFont="1" applyBorder="1"/>
    <xf numFmtId="0" fontId="12" fillId="0" borderId="10" xfId="0" applyFont="1" applyBorder="1"/>
    <xf numFmtId="0" fontId="12" fillId="0" borderId="8" xfId="0" applyFont="1" applyBorder="1"/>
    <xf numFmtId="9" fontId="0" fillId="0" borderId="10" xfId="0" applyNumberFormat="1" applyBorder="1"/>
    <xf numFmtId="9" fontId="0" fillId="0" borderId="12" xfId="0" applyNumberFormat="1" applyBorder="1"/>
    <xf numFmtId="9" fontId="0" fillId="0" borderId="15" xfId="0" applyNumberFormat="1" applyBorder="1"/>
    <xf numFmtId="0" fontId="12" fillId="0" borderId="18" xfId="0" applyFont="1" applyFill="1" applyBorder="1"/>
    <xf numFmtId="168" fontId="0" fillId="0" borderId="0" xfId="0" applyNumberFormat="1" applyBorder="1"/>
    <xf numFmtId="169" fontId="0" fillId="10" borderId="0" xfId="0" applyNumberFormat="1" applyFill="1"/>
    <xf numFmtId="171" fontId="12" fillId="7" borderId="9" xfId="0" applyNumberFormat="1" applyFont="1" applyFill="1" applyBorder="1"/>
    <xf numFmtId="171" fontId="12" fillId="7" borderId="0" xfId="0" applyNumberFormat="1" applyFont="1" applyFill="1" applyBorder="1"/>
    <xf numFmtId="169" fontId="9" fillId="0" borderId="11" xfId="0" applyNumberFormat="1" applyFont="1" applyBorder="1"/>
    <xf numFmtId="171" fontId="0" fillId="7" borderId="0" xfId="0" applyNumberFormat="1" applyFill="1" applyBorder="1"/>
    <xf numFmtId="0" fontId="0" fillId="0" borderId="12" xfId="0" applyBorder="1" applyAlignment="1">
      <alignment horizontal="center" vertical="center"/>
    </xf>
    <xf numFmtId="171" fontId="13" fillId="7" borderId="9" xfId="0" applyNumberFormat="1" applyFont="1" applyFill="1" applyBorder="1"/>
    <xf numFmtId="171" fontId="9" fillId="0" borderId="0" xfId="0" applyNumberFormat="1" applyFont="1"/>
    <xf numFmtId="171" fontId="13" fillId="7" borderId="0" xfId="0" applyNumberFormat="1" applyFont="1" applyFill="1" applyBorder="1"/>
    <xf numFmtId="171" fontId="8" fillId="0" borderId="0" xfId="0" applyNumberFormat="1" applyFont="1" applyBorder="1"/>
    <xf numFmtId="171" fontId="8" fillId="0" borderId="0" xfId="0" applyNumberFormat="1" applyFont="1"/>
    <xf numFmtId="172" fontId="9" fillId="12" borderId="19" xfId="0" applyNumberFormat="1" applyFont="1" applyFill="1" applyBorder="1"/>
    <xf numFmtId="0" fontId="0" fillId="0" borderId="0" xfId="0" applyBorder="1" applyAlignment="1">
      <alignment vertical="top" wrapText="1"/>
    </xf>
    <xf numFmtId="0" fontId="8" fillId="0" borderId="0" xfId="0" applyFont="1" applyFill="1" applyBorder="1"/>
    <xf numFmtId="0" fontId="20" fillId="16" borderId="18" xfId="0" applyFont="1" applyFill="1" applyBorder="1" applyAlignment="1">
      <alignment horizontal="center"/>
    </xf>
    <xf numFmtId="2" fontId="0" fillId="16" borderId="18" xfId="0" applyNumberFormat="1" applyFill="1" applyBorder="1"/>
    <xf numFmtId="2" fontId="0" fillId="0" borderId="15" xfId="0" applyNumberFormat="1" applyBorder="1"/>
    <xf numFmtId="0" fontId="0" fillId="0" borderId="20" xfId="0" applyBorder="1"/>
    <xf numFmtId="0" fontId="0" fillId="0" borderId="21" xfId="0" applyBorder="1"/>
    <xf numFmtId="0" fontId="0" fillId="0" borderId="22" xfId="0" applyBorder="1"/>
    <xf numFmtId="9" fontId="0" fillId="0" borderId="0" xfId="0" applyNumberFormat="1" applyFill="1"/>
    <xf numFmtId="9" fontId="8" fillId="0" borderId="0" xfId="0" applyNumberFormat="1" applyFont="1" applyFill="1" applyBorder="1"/>
    <xf numFmtId="171" fontId="13" fillId="7" borderId="18" xfId="0" applyNumberFormat="1" applyFont="1" applyFill="1" applyBorder="1"/>
    <xf numFmtId="171" fontId="0" fillId="0" borderId="0" xfId="0" applyNumberFormat="1" applyBorder="1"/>
    <xf numFmtId="2" fontId="0" fillId="0" borderId="11" xfId="0" applyNumberFormat="1" applyBorder="1"/>
    <xf numFmtId="2" fontId="8" fillId="0" borderId="11" xfId="0" applyNumberFormat="1" applyFont="1" applyBorder="1"/>
    <xf numFmtId="6" fontId="0" fillId="0" borderId="0" xfId="0" applyNumberFormat="1"/>
    <xf numFmtId="1" fontId="0" fillId="19" borderId="0" xfId="0" applyNumberFormat="1" applyFill="1"/>
    <xf numFmtId="9" fontId="0" fillId="6" borderId="8" xfId="0" applyNumberFormat="1" applyFill="1" applyBorder="1"/>
    <xf numFmtId="1" fontId="0" fillId="6" borderId="11" xfId="0" applyNumberFormat="1" applyFill="1" applyBorder="1"/>
    <xf numFmtId="0" fontId="16" fillId="15" borderId="11" xfId="0" applyFont="1" applyFill="1" applyBorder="1" applyAlignment="1">
      <alignment horizontal="right"/>
    </xf>
    <xf numFmtId="1" fontId="0" fillId="0" borderId="0" xfId="0" applyNumberFormat="1" applyAlignment="1">
      <alignment horizontal="right"/>
    </xf>
    <xf numFmtId="165" fontId="0" fillId="10" borderId="11" xfId="0" applyNumberFormat="1" applyFill="1" applyBorder="1"/>
    <xf numFmtId="1" fontId="0" fillId="12" borderId="11" xfId="0" applyNumberFormat="1" applyFill="1" applyBorder="1"/>
    <xf numFmtId="1" fontId="0" fillId="12" borderId="11" xfId="0" applyNumberFormat="1" applyFont="1" applyFill="1" applyBorder="1"/>
    <xf numFmtId="1" fontId="0" fillId="18" borderId="11" xfId="0" applyNumberFormat="1" applyFill="1" applyBorder="1"/>
    <xf numFmtId="1" fontId="0" fillId="0" borderId="19" xfId="0" applyNumberFormat="1" applyBorder="1" applyAlignment="1">
      <alignment horizontal="right"/>
    </xf>
    <xf numFmtId="0" fontId="9" fillId="0" borderId="18" xfId="0" applyFont="1" applyBorder="1"/>
    <xf numFmtId="0" fontId="0" fillId="15" borderId="11" xfId="0" applyFill="1" applyBorder="1"/>
    <xf numFmtId="0" fontId="9" fillId="0" borderId="8" xfId="0" applyFont="1" applyBorder="1"/>
    <xf numFmtId="0" fontId="8" fillId="0" borderId="11" xfId="0" applyFont="1" applyBorder="1"/>
    <xf numFmtId="0" fontId="9" fillId="0" borderId="21" xfId="0" applyFont="1" applyBorder="1"/>
    <xf numFmtId="0" fontId="8" fillId="0" borderId="21" xfId="0" applyFont="1" applyFill="1" applyBorder="1"/>
    <xf numFmtId="1" fontId="0" fillId="0" borderId="0" xfId="0" applyNumberFormat="1" applyFill="1" applyBorder="1"/>
    <xf numFmtId="0" fontId="16" fillId="20" borderId="0" xfId="0" applyFont="1" applyFill="1"/>
    <xf numFmtId="0" fontId="0" fillId="20" borderId="0" xfId="0" applyFill="1"/>
    <xf numFmtId="167" fontId="16" fillId="20" borderId="0" xfId="0" applyNumberFormat="1" applyFont="1" applyFill="1"/>
    <xf numFmtId="173" fontId="0" fillId="0" borderId="0" xfId="0" applyNumberFormat="1" applyBorder="1"/>
    <xf numFmtId="0" fontId="0" fillId="0" borderId="18" xfId="0" applyBorder="1" applyProtection="1">
      <protection hidden="1"/>
    </xf>
    <xf numFmtId="174" fontId="3" fillId="0" borderId="18" xfId="1" applyNumberFormat="1" applyFont="1" applyBorder="1" applyProtection="1">
      <protection hidden="1"/>
    </xf>
    <xf numFmtId="9" fontId="0" fillId="0" borderId="18" xfId="0" applyNumberFormat="1" applyFont="1" applyBorder="1" applyProtection="1">
      <protection hidden="1"/>
    </xf>
    <xf numFmtId="0" fontId="0" fillId="0" borderId="0" xfId="0" applyFill="1" applyBorder="1" applyProtection="1">
      <protection hidden="1"/>
    </xf>
    <xf numFmtId="0" fontId="0" fillId="0" borderId="21" xfId="0" applyFill="1" applyBorder="1" applyProtection="1">
      <protection hidden="1"/>
    </xf>
    <xf numFmtId="9" fontId="2" fillId="0" borderId="21" xfId="1" applyNumberFormat="1" applyFont="1" applyFill="1" applyBorder="1" applyProtection="1">
      <protection hidden="1"/>
    </xf>
    <xf numFmtId="169" fontId="1" fillId="0" borderId="11" xfId="1" applyNumberFormat="1" applyFont="1" applyFill="1" applyBorder="1" applyProtection="1">
      <protection hidden="1"/>
    </xf>
    <xf numFmtId="0" fontId="0" fillId="0" borderId="0" xfId="0" applyAlignment="1">
      <alignment horizontal="right"/>
    </xf>
    <xf numFmtId="167" fontId="2" fillId="0" borderId="21" xfId="1" applyNumberFormat="1" applyFont="1" applyFill="1" applyBorder="1" applyProtection="1">
      <protection hidden="1"/>
    </xf>
    <xf numFmtId="167" fontId="0" fillId="0" borderId="18" xfId="0" applyNumberFormat="1" applyFont="1" applyBorder="1" applyProtection="1">
      <protection hidden="1"/>
    </xf>
    <xf numFmtId="0" fontId="0" fillId="0" borderId="11" xfId="0" applyFill="1" applyBorder="1"/>
    <xf numFmtId="0" fontId="0" fillId="0" borderId="13" xfId="0" applyFill="1" applyBorder="1"/>
    <xf numFmtId="0" fontId="22" fillId="21" borderId="14" xfId="0" applyFont="1" applyFill="1" applyBorder="1" applyProtection="1">
      <protection hidden="1"/>
    </xf>
    <xf numFmtId="0" fontId="0" fillId="21" borderId="18" xfId="0" applyFill="1" applyBorder="1" applyProtection="1">
      <protection hidden="1"/>
    </xf>
    <xf numFmtId="174" fontId="3" fillId="21" borderId="18" xfId="1" applyNumberFormat="1" applyFont="1" applyFill="1" applyBorder="1" applyProtection="1">
      <protection hidden="1"/>
    </xf>
    <xf numFmtId="9" fontId="0" fillId="21" borderId="18" xfId="0" applyNumberFormat="1" applyFont="1" applyFill="1" applyBorder="1" applyProtection="1">
      <protection hidden="1"/>
    </xf>
    <xf numFmtId="0" fontId="0" fillId="21" borderId="21" xfId="0" applyFill="1" applyBorder="1" applyProtection="1">
      <protection hidden="1"/>
    </xf>
    <xf numFmtId="0" fontId="0" fillId="21" borderId="0" xfId="0" applyFill="1"/>
    <xf numFmtId="9" fontId="2" fillId="21" borderId="21" xfId="1" applyNumberFormat="1" applyFont="1" applyFill="1" applyBorder="1" applyProtection="1">
      <protection hidden="1"/>
    </xf>
    <xf numFmtId="9" fontId="0" fillId="21" borderId="0" xfId="0" applyNumberFormat="1" applyFill="1"/>
    <xf numFmtId="167" fontId="9" fillId="21" borderId="0" xfId="0" applyNumberFormat="1" applyFont="1" applyFill="1"/>
    <xf numFmtId="167" fontId="0" fillId="10" borderId="13" xfId="0" applyNumberFormat="1" applyFill="1" applyBorder="1"/>
    <xf numFmtId="167" fontId="0" fillId="10" borderId="8" xfId="0" applyNumberFormat="1" applyFill="1" applyBorder="1"/>
    <xf numFmtId="0" fontId="0" fillId="0" borderId="8" xfId="0" applyFill="1" applyBorder="1"/>
    <xf numFmtId="166" fontId="0" fillId="0" borderId="9" xfId="0" applyNumberFormat="1" applyFill="1" applyBorder="1"/>
    <xf numFmtId="0" fontId="0" fillId="0" borderId="9" xfId="0" applyFill="1" applyBorder="1"/>
    <xf numFmtId="0" fontId="0" fillId="0" borderId="0" xfId="0" applyFill="1" applyBorder="1" applyAlignment="1"/>
    <xf numFmtId="9" fontId="0" fillId="15" borderId="0" xfId="0" applyNumberFormat="1" applyFill="1"/>
    <xf numFmtId="0" fontId="25" fillId="0" borderId="0" xfId="0" applyFont="1"/>
    <xf numFmtId="2" fontId="0" fillId="7" borderId="0" xfId="0" applyNumberFormat="1" applyFill="1" applyBorder="1"/>
    <xf numFmtId="14" fontId="0" fillId="0" borderId="0" xfId="0" applyNumberFormat="1"/>
    <xf numFmtId="172" fontId="0" fillId="0" borderId="0" xfId="0" applyNumberFormat="1"/>
    <xf numFmtId="1" fontId="0" fillId="0" borderId="9" xfId="0" applyNumberFormat="1" applyBorder="1"/>
    <xf numFmtId="168" fontId="0" fillId="0" borderId="10" xfId="0" applyNumberFormat="1" applyBorder="1"/>
    <xf numFmtId="168" fontId="0" fillId="0" borderId="12" xfId="0" applyNumberFormat="1" applyBorder="1"/>
    <xf numFmtId="168" fontId="0" fillId="0" borderId="15" xfId="0" applyNumberFormat="1" applyBorder="1"/>
    <xf numFmtId="0" fontId="0" fillId="0" borderId="19" xfId="0" applyBorder="1"/>
    <xf numFmtId="0" fontId="0" fillId="0" borderId="16" xfId="0" applyBorder="1"/>
    <xf numFmtId="1" fontId="0" fillId="0" borderId="16" xfId="0" applyNumberFormat="1" applyBorder="1" applyAlignment="1">
      <alignment horizontal="right"/>
    </xf>
    <xf numFmtId="168" fontId="0" fillId="0" borderId="17" xfId="0" applyNumberFormat="1" applyBorder="1" applyAlignment="1">
      <alignment horizontal="right"/>
    </xf>
    <xf numFmtId="1" fontId="0" fillId="0" borderId="8" xfId="0" applyNumberFormat="1" applyBorder="1"/>
    <xf numFmtId="1" fontId="0" fillId="0" borderId="11" xfId="0" applyNumberFormat="1" applyBorder="1"/>
    <xf numFmtId="1" fontId="0" fillId="0" borderId="13" xfId="0" applyNumberFormat="1" applyBorder="1"/>
    <xf numFmtId="171" fontId="0" fillId="0" borderId="16" xfId="0" applyNumberFormat="1" applyBorder="1"/>
    <xf numFmtId="171" fontId="9" fillId="0" borderId="16" xfId="0" applyNumberFormat="1" applyFont="1" applyBorder="1"/>
    <xf numFmtId="171" fontId="8" fillId="0" borderId="16" xfId="0" applyNumberFormat="1" applyFont="1" applyBorder="1"/>
    <xf numFmtId="171" fontId="8" fillId="0" borderId="9" xfId="0" applyNumberFormat="1" applyFont="1" applyBorder="1"/>
    <xf numFmtId="171" fontId="9" fillId="0" borderId="9" xfId="0" applyNumberFormat="1" applyFont="1" applyBorder="1"/>
    <xf numFmtId="171" fontId="13" fillId="7" borderId="16" xfId="0" applyNumberFormat="1" applyFont="1" applyFill="1" applyBorder="1"/>
    <xf numFmtId="171" fontId="12" fillId="7" borderId="16" xfId="0" applyNumberFormat="1" applyFont="1" applyFill="1" applyBorder="1"/>
    <xf numFmtId="0" fontId="0" fillId="7" borderId="10" xfId="0" applyFill="1" applyBorder="1" applyAlignment="1">
      <alignment horizontal="right"/>
    </xf>
    <xf numFmtId="169" fontId="0" fillId="6" borderId="11" xfId="0" applyNumberFormat="1" applyFill="1" applyBorder="1"/>
    <xf numFmtId="3" fontId="0" fillId="0" borderId="11" xfId="0" applyNumberFormat="1" applyFont="1" applyBorder="1"/>
    <xf numFmtId="3" fontId="0" fillId="0" borderId="0" xfId="0" applyNumberFormat="1" applyFont="1" applyBorder="1"/>
    <xf numFmtId="3" fontId="0" fillId="5" borderId="0" xfId="0" applyNumberFormat="1" applyFill="1" applyBorder="1" applyAlignment="1">
      <alignment horizontal="right"/>
    </xf>
    <xf numFmtId="0" fontId="0" fillId="5" borderId="0" xfId="0" applyFill="1" applyBorder="1"/>
    <xf numFmtId="1" fontId="8" fillId="0" borderId="0" xfId="0" applyNumberFormat="1" applyFont="1" applyBorder="1"/>
    <xf numFmtId="0" fontId="0" fillId="5" borderId="14" xfId="0" applyFill="1" applyBorder="1"/>
    <xf numFmtId="0" fontId="0" fillId="0" borderId="15" xfId="0" applyBorder="1"/>
    <xf numFmtId="0" fontId="0" fillId="0" borderId="8" xfId="0" applyBorder="1" applyAlignment="1">
      <alignment horizont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167" fontId="16" fillId="9" borderId="11" xfId="0" applyNumberFormat="1" applyFont="1" applyFill="1" applyBorder="1" applyAlignment="1">
      <alignment horizontal="center" vertical="top" wrapText="1"/>
    </xf>
    <xf numFmtId="167" fontId="16" fillId="9" borderId="12" xfId="0" applyNumberFormat="1" applyFont="1" applyFill="1" applyBorder="1" applyAlignment="1">
      <alignment horizontal="center" vertical="top" wrapText="1"/>
    </xf>
    <xf numFmtId="0" fontId="0" fillId="0" borderId="22" xfId="0"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3" fontId="5" fillId="0" borderId="11" xfId="0" applyNumberFormat="1" applyFont="1" applyBorder="1" applyAlignment="1">
      <alignment horizontal="center" vertical="center" wrapText="1"/>
    </xf>
    <xf numFmtId="3" fontId="5" fillId="0" borderId="0" xfId="0" applyNumberFormat="1" applyFont="1" applyBorder="1" applyAlignment="1">
      <alignment horizontal="center" vertical="center" wrapText="1"/>
    </xf>
    <xf numFmtId="0" fontId="0" fillId="0" borderId="0" xfId="0" applyFont="1" applyBorder="1" applyAlignment="1">
      <alignment horizontal="center" vertical="center"/>
    </xf>
    <xf numFmtId="167" fontId="0" fillId="7" borderId="14" xfId="0" applyNumberFormat="1" applyFill="1" applyBorder="1"/>
    <xf numFmtId="169" fontId="5" fillId="0" borderId="0" xfId="0" applyNumberFormat="1" applyFont="1" applyBorder="1"/>
    <xf numFmtId="0" fontId="5" fillId="0" borderId="12" xfId="0" applyFont="1" applyBorder="1" applyAlignment="1">
      <alignment vertical="top" wrapText="1"/>
    </xf>
    <xf numFmtId="0" fontId="5" fillId="0" borderId="0" xfId="0" applyFont="1" applyBorder="1"/>
    <xf numFmtId="0" fontId="7" fillId="0" borderId="0" xfId="0" applyFont="1" applyBorder="1"/>
    <xf numFmtId="3" fontId="5" fillId="0" borderId="0" xfId="0" applyNumberFormat="1" applyFont="1"/>
    <xf numFmtId="3" fontId="0" fillId="0" borderId="0" xfId="0" applyNumberFormat="1"/>
    <xf numFmtId="3" fontId="7" fillId="0" borderId="0" xfId="0" applyNumberFormat="1" applyFont="1"/>
    <xf numFmtId="3" fontId="5" fillId="0" borderId="0" xfId="0" applyNumberFormat="1" applyFont="1" applyBorder="1"/>
    <xf numFmtId="3" fontId="0" fillId="5" borderId="0" xfId="0" applyNumberFormat="1" applyFill="1" applyBorder="1"/>
    <xf numFmtId="3" fontId="0" fillId="5" borderId="14" xfId="0" applyNumberFormat="1" applyFill="1" applyBorder="1"/>
    <xf numFmtId="0" fontId="0" fillId="22" borderId="0" xfId="0" applyFill="1"/>
    <xf numFmtId="0" fontId="0" fillId="22" borderId="12" xfId="0" applyFill="1" applyBorder="1"/>
    <xf numFmtId="169" fontId="0" fillId="22" borderId="12" xfId="0" applyNumberFormat="1" applyFill="1" applyBorder="1"/>
    <xf numFmtId="169" fontId="0" fillId="22" borderId="0" xfId="0" applyNumberFormat="1" applyFill="1"/>
    <xf numFmtId="0" fontId="0" fillId="23" borderId="0" xfId="0" applyFill="1"/>
    <xf numFmtId="169" fontId="0" fillId="23" borderId="0" xfId="0" applyNumberFormat="1" applyFill="1"/>
    <xf numFmtId="0" fontId="0" fillId="14" borderId="0" xfId="0" applyFill="1" applyBorder="1"/>
    <xf numFmtId="0" fontId="4" fillId="0" borderId="8" xfId="0" applyFont="1" applyBorder="1" applyAlignment="1">
      <alignment horizontal="right"/>
    </xf>
    <xf numFmtId="0" fontId="4" fillId="0" borderId="9" xfId="0" applyFont="1" applyBorder="1" applyAlignment="1">
      <alignment horizontal="right"/>
    </xf>
    <xf numFmtId="0" fontId="0" fillId="0" borderId="23" xfId="0" applyFont="1" applyBorder="1"/>
    <xf numFmtId="0" fontId="0" fillId="3" borderId="13" xfId="0" applyFill="1" applyBorder="1"/>
    <xf numFmtId="0" fontId="0" fillId="0" borderId="14" xfId="0" applyFont="1" applyBorder="1"/>
    <xf numFmtId="169" fontId="5" fillId="0" borderId="24" xfId="0" applyNumberFormat="1" applyFont="1" applyBorder="1"/>
    <xf numFmtId="176" fontId="0" fillId="4" borderId="0" xfId="0" applyNumberFormat="1" applyFill="1"/>
    <xf numFmtId="169" fontId="0" fillId="14" borderId="0" xfId="0" applyNumberFormat="1" applyFill="1"/>
    <xf numFmtId="0" fontId="26" fillId="21" borderId="18" xfId="0" applyFont="1" applyFill="1" applyBorder="1" applyProtection="1">
      <protection hidden="1"/>
    </xf>
    <xf numFmtId="169" fontId="0" fillId="6" borderId="21" xfId="0" applyNumberFormat="1" applyFill="1" applyBorder="1"/>
    <xf numFmtId="0" fontId="0" fillId="0" borderId="11" xfId="0" applyBorder="1" applyAlignment="1">
      <alignment horizontal="center"/>
    </xf>
    <xf numFmtId="0" fontId="9" fillId="15" borderId="20" xfId="0" applyFont="1" applyFill="1" applyBorder="1" applyAlignment="1">
      <alignment horizontal="center"/>
    </xf>
  </cellXfs>
  <cellStyles count="2">
    <cellStyle name="Comma" xfId="1" builtinId="3"/>
    <cellStyle name="Normal" xfId="0" builtinId="0"/>
  </cellStyles>
  <dxfs count="6">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CC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CCFF66"/>
      <rgbColor rgb="FF66FF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'Reference case'!$C$49</c:f>
          <c:strCache>
            <c:ptCount val="1"/>
            <c:pt idx="0">
              <c:v>Savings from PV and battery  (battery = 0kWh, star rating = 7.5)</c:v>
            </c:pt>
          </c:strCache>
        </c:strRef>
      </c:tx>
      <c:layout>
        <c:manualLayout>
          <c:xMode val="edge"/>
          <c:yMode val="edge"/>
          <c:x val="0.13637670207037669"/>
          <c:y val="2.799300101502181E-2"/>
        </c:manualLayout>
      </c:layout>
      <c:overlay val="0"/>
      <c:txPr>
        <a:bodyPr/>
        <a:lstStyle/>
        <a:p>
          <a:pPr>
            <a:defRPr/>
          </a:pPr>
          <a:endParaRPr lang="en-US"/>
        </a:p>
      </c:txPr>
    </c:title>
    <c:autoTitleDeleted val="0"/>
    <c:plotArea>
      <c:layout/>
      <c:scatterChart>
        <c:scatterStyle val="smoothMarker"/>
        <c:varyColors val="0"/>
        <c:ser>
          <c:idx val="0"/>
          <c:order val="0"/>
          <c:marker>
            <c:symbol val="none"/>
          </c:marker>
          <c:xVal>
            <c:numRef>
              <c:f>'Reference case'!$C$51:$I$51</c:f>
              <c:numCache>
                <c:formatCode>0.0</c:formatCode>
                <c:ptCount val="7"/>
                <c:pt idx="0">
                  <c:v>0.5</c:v>
                </c:pt>
                <c:pt idx="1">
                  <c:v>1</c:v>
                </c:pt>
                <c:pt idx="2">
                  <c:v>2</c:v>
                </c:pt>
                <c:pt idx="3">
                  <c:v>3</c:v>
                </c:pt>
                <c:pt idx="4">
                  <c:v>4</c:v>
                </c:pt>
                <c:pt idx="5">
                  <c:v>5</c:v>
                </c:pt>
                <c:pt idx="6">
                  <c:v>6</c:v>
                </c:pt>
              </c:numCache>
            </c:numRef>
          </c:xVal>
          <c:yVal>
            <c:numRef>
              <c:f>'Reference case'!$C$52:$I$52</c:f>
              <c:numCache>
                <c:formatCode>"$"#,##0</c:formatCode>
                <c:ptCount val="7"/>
                <c:pt idx="0">
                  <c:v>183.40591817871592</c:v>
                </c:pt>
                <c:pt idx="1">
                  <c:v>342.47640596074757</c:v>
                </c:pt>
                <c:pt idx="2">
                  <c:v>603.28123800505716</c:v>
                </c:pt>
                <c:pt idx="3">
                  <c:v>808.20227318101229</c:v>
                </c:pt>
                <c:pt idx="4">
                  <c:v>975.78952540329487</c:v>
                </c:pt>
                <c:pt idx="5">
                  <c:v>1119.259680222232</c:v>
                </c:pt>
                <c:pt idx="6">
                  <c:v>1247.9194697883406</c:v>
                </c:pt>
              </c:numCache>
            </c:numRef>
          </c:yVal>
          <c:smooth val="1"/>
          <c:extLst>
            <c:ext xmlns:c16="http://schemas.microsoft.com/office/drawing/2014/chart" uri="{C3380CC4-5D6E-409C-BE32-E72D297353CC}">
              <c16:uniqueId val="{00000000-35B3-6E41-8422-BD40DA3D411C}"/>
            </c:ext>
          </c:extLst>
        </c:ser>
        <c:dLbls>
          <c:showLegendKey val="0"/>
          <c:showVal val="0"/>
          <c:showCatName val="0"/>
          <c:showSerName val="0"/>
          <c:showPercent val="0"/>
          <c:showBubbleSize val="0"/>
        </c:dLbls>
        <c:axId val="285708288"/>
        <c:axId val="291681024"/>
      </c:scatterChart>
      <c:valAx>
        <c:axId val="285708288"/>
        <c:scaling>
          <c:orientation val="minMax"/>
          <c:max val="6"/>
        </c:scaling>
        <c:delete val="0"/>
        <c:axPos val="b"/>
        <c:majorGridlines/>
        <c:title>
          <c:tx>
            <c:rich>
              <a:bodyPr/>
              <a:lstStyle/>
              <a:p>
                <a:pPr>
                  <a:defRPr/>
                </a:pPr>
                <a:r>
                  <a:rPr lang="en-AU"/>
                  <a:t>PV</a:t>
                </a:r>
                <a:r>
                  <a:rPr lang="en-AU" baseline="0"/>
                  <a:t> capacity [kW]</a:t>
                </a:r>
                <a:endParaRPr lang="en-AU"/>
              </a:p>
            </c:rich>
          </c:tx>
          <c:overlay val="0"/>
        </c:title>
        <c:numFmt formatCode="0" sourceLinked="0"/>
        <c:majorTickMark val="none"/>
        <c:minorTickMark val="none"/>
        <c:tickLblPos val="nextTo"/>
        <c:crossAx val="291681024"/>
        <c:crosses val="autoZero"/>
        <c:crossBetween val="midCat"/>
      </c:valAx>
      <c:valAx>
        <c:axId val="291681024"/>
        <c:scaling>
          <c:orientation val="minMax"/>
        </c:scaling>
        <c:delete val="0"/>
        <c:axPos val="l"/>
        <c:majorGridlines/>
        <c:title>
          <c:tx>
            <c:rich>
              <a:bodyPr/>
              <a:lstStyle/>
              <a:p>
                <a:pPr>
                  <a:defRPr/>
                </a:pPr>
                <a:r>
                  <a:rPr lang="en-AU"/>
                  <a:t>Annual savings</a:t>
                </a:r>
              </a:p>
            </c:rich>
          </c:tx>
          <c:overlay val="0"/>
        </c:title>
        <c:numFmt formatCode="&quot;$&quot;#,##0" sourceLinked="1"/>
        <c:majorTickMark val="none"/>
        <c:minorTickMark val="none"/>
        <c:tickLblPos val="nextTo"/>
        <c:crossAx val="285708288"/>
        <c:crossesAt val="0"/>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'Reference case'!$C$127</c:f>
          <c:strCache>
            <c:ptCount val="1"/>
            <c:pt idx="0">
              <c:v>Energy bills vs battery capacity for different PV capacity (star rating = 7.5)</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'Reference case'!$C$128</c:f>
              <c:strCache>
                <c:ptCount val="1"/>
                <c:pt idx="0">
                  <c:v>0 kW</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xVal>
            <c:numRef>
              <c:f>'Reference case'!$B$129:$B$135</c:f>
              <c:numCache>
                <c:formatCode>0</c:formatCode>
                <c:ptCount val="7"/>
                <c:pt idx="0">
                  <c:v>0</c:v>
                </c:pt>
                <c:pt idx="1">
                  <c:v>1</c:v>
                </c:pt>
                <c:pt idx="2">
                  <c:v>2</c:v>
                </c:pt>
                <c:pt idx="3">
                  <c:v>4</c:v>
                </c:pt>
                <c:pt idx="4">
                  <c:v>6</c:v>
                </c:pt>
                <c:pt idx="5">
                  <c:v>8</c:v>
                </c:pt>
                <c:pt idx="6">
                  <c:v>10</c:v>
                </c:pt>
              </c:numCache>
            </c:numRef>
          </c:xVal>
          <c:yVal>
            <c:numRef>
              <c:f>'Reference case'!$C$129:$C$135</c:f>
              <c:numCache>
                <c:formatCode>[$$-C09]#,##0;[Red]\-[$$-C09]#,##0</c:formatCode>
                <c:ptCount val="7"/>
                <c:pt idx="0">
                  <c:v>1273.2733695564407</c:v>
                </c:pt>
                <c:pt idx="1">
                  <c:v>1223.4283199672768</c:v>
                </c:pt>
                <c:pt idx="2">
                  <c:v>1181.2878468409208</c:v>
                </c:pt>
                <c:pt idx="3">
                  <c:v>1116.6399673119504</c:v>
                </c:pt>
                <c:pt idx="4">
                  <c:v>1073.2362715348327</c:v>
                </c:pt>
                <c:pt idx="5">
                  <c:v>1046.1905974471817</c:v>
                </c:pt>
                <c:pt idx="6" formatCode="&quot;$&quot;#,##0_);[Red]\(&quot;$&quot;#,##0\)">
                  <c:v>1031.5998285975434</c:v>
                </c:pt>
              </c:numCache>
            </c:numRef>
          </c:yVal>
          <c:smooth val="1"/>
          <c:extLst>
            <c:ext xmlns:c16="http://schemas.microsoft.com/office/drawing/2014/chart" uri="{C3380CC4-5D6E-409C-BE32-E72D297353CC}">
              <c16:uniqueId val="{00000000-0128-4753-BD66-A80A05C83E04}"/>
            </c:ext>
          </c:extLst>
        </c:ser>
        <c:ser>
          <c:idx val="1"/>
          <c:order val="1"/>
          <c:tx>
            <c:strRef>
              <c:f>'Reference case'!$D$128</c:f>
              <c:strCache>
                <c:ptCount val="1"/>
                <c:pt idx="0">
                  <c:v>1 kW</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xVal>
            <c:numRef>
              <c:f>'Reference case'!$B$129:$B$135</c:f>
              <c:numCache>
                <c:formatCode>0</c:formatCode>
                <c:ptCount val="7"/>
                <c:pt idx="0">
                  <c:v>0</c:v>
                </c:pt>
                <c:pt idx="1">
                  <c:v>1</c:v>
                </c:pt>
                <c:pt idx="2">
                  <c:v>2</c:v>
                </c:pt>
                <c:pt idx="3">
                  <c:v>4</c:v>
                </c:pt>
                <c:pt idx="4">
                  <c:v>6</c:v>
                </c:pt>
                <c:pt idx="5">
                  <c:v>8</c:v>
                </c:pt>
                <c:pt idx="6">
                  <c:v>10</c:v>
                </c:pt>
              </c:numCache>
            </c:numRef>
          </c:xVal>
          <c:yVal>
            <c:numRef>
              <c:f>'Reference case'!$D$129:$D$135</c:f>
              <c:numCache>
                <c:formatCode>[$$-C09]#,##0;[Red]\-[$$-C09]#,##0</c:formatCode>
                <c:ptCount val="7"/>
                <c:pt idx="0">
                  <c:v>930.79696359569311</c:v>
                </c:pt>
                <c:pt idx="1">
                  <c:v>880.95191400652925</c:v>
                </c:pt>
                <c:pt idx="2">
                  <c:v>838.81144088017345</c:v>
                </c:pt>
                <c:pt idx="3">
                  <c:v>774.16356135120259</c:v>
                </c:pt>
                <c:pt idx="4">
                  <c:v>730.75986557408498</c:v>
                </c:pt>
                <c:pt idx="5">
                  <c:v>703.71419148643417</c:v>
                </c:pt>
                <c:pt idx="6" formatCode="&quot;$&quot;#,##0_);[Red]\(&quot;$&quot;#,##0\)">
                  <c:v>689.12342263679591</c:v>
                </c:pt>
              </c:numCache>
            </c:numRef>
          </c:yVal>
          <c:smooth val="1"/>
          <c:extLst>
            <c:ext xmlns:c16="http://schemas.microsoft.com/office/drawing/2014/chart" uri="{C3380CC4-5D6E-409C-BE32-E72D297353CC}">
              <c16:uniqueId val="{00000001-0128-4753-BD66-A80A05C83E04}"/>
            </c:ext>
          </c:extLst>
        </c:ser>
        <c:ser>
          <c:idx val="2"/>
          <c:order val="2"/>
          <c:tx>
            <c:strRef>
              <c:f>'Reference case'!$E$128</c:f>
              <c:strCache>
                <c:ptCount val="1"/>
                <c:pt idx="0">
                  <c:v>2 kW</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xVal>
            <c:numRef>
              <c:f>'Reference case'!$B$129:$B$135</c:f>
              <c:numCache>
                <c:formatCode>0</c:formatCode>
                <c:ptCount val="7"/>
                <c:pt idx="0">
                  <c:v>0</c:v>
                </c:pt>
                <c:pt idx="1">
                  <c:v>1</c:v>
                </c:pt>
                <c:pt idx="2">
                  <c:v>2</c:v>
                </c:pt>
                <c:pt idx="3">
                  <c:v>4</c:v>
                </c:pt>
                <c:pt idx="4">
                  <c:v>6</c:v>
                </c:pt>
                <c:pt idx="5">
                  <c:v>8</c:v>
                </c:pt>
                <c:pt idx="6">
                  <c:v>10</c:v>
                </c:pt>
              </c:numCache>
            </c:numRef>
          </c:xVal>
          <c:yVal>
            <c:numRef>
              <c:f>'Reference case'!$E$129:$E$135</c:f>
              <c:numCache>
                <c:formatCode>[$$-C09]#,##0;[Red]\-[$$-C09]#,##0</c:formatCode>
                <c:ptCount val="7"/>
                <c:pt idx="0">
                  <c:v>669.99213155138352</c:v>
                </c:pt>
                <c:pt idx="1">
                  <c:v>620.14708196221977</c:v>
                </c:pt>
                <c:pt idx="2">
                  <c:v>578.00660883586397</c:v>
                </c:pt>
                <c:pt idx="3">
                  <c:v>513.35872930689311</c:v>
                </c:pt>
                <c:pt idx="4">
                  <c:v>469.95503352977545</c:v>
                </c:pt>
                <c:pt idx="5">
                  <c:v>446.3368301535312</c:v>
                </c:pt>
                <c:pt idx="6" formatCode="&quot;$&quot;#,##0_);[Red]\(&quot;$&quot;#,##0\)">
                  <c:v>446.3368301535312</c:v>
                </c:pt>
              </c:numCache>
            </c:numRef>
          </c:yVal>
          <c:smooth val="1"/>
          <c:extLst>
            <c:ext xmlns:c16="http://schemas.microsoft.com/office/drawing/2014/chart" uri="{C3380CC4-5D6E-409C-BE32-E72D297353CC}">
              <c16:uniqueId val="{00000002-0128-4753-BD66-A80A05C83E04}"/>
            </c:ext>
          </c:extLst>
        </c:ser>
        <c:ser>
          <c:idx val="3"/>
          <c:order val="3"/>
          <c:tx>
            <c:strRef>
              <c:f>'Reference case'!$F$128</c:f>
              <c:strCache>
                <c:ptCount val="1"/>
                <c:pt idx="0">
                  <c:v>3 kW</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xVal>
            <c:numRef>
              <c:f>'Reference case'!$B$129:$B$135</c:f>
              <c:numCache>
                <c:formatCode>0</c:formatCode>
                <c:ptCount val="7"/>
                <c:pt idx="0">
                  <c:v>0</c:v>
                </c:pt>
                <c:pt idx="1">
                  <c:v>1</c:v>
                </c:pt>
                <c:pt idx="2">
                  <c:v>2</c:v>
                </c:pt>
                <c:pt idx="3">
                  <c:v>4</c:v>
                </c:pt>
                <c:pt idx="4">
                  <c:v>6</c:v>
                </c:pt>
                <c:pt idx="5">
                  <c:v>8</c:v>
                </c:pt>
                <c:pt idx="6">
                  <c:v>10</c:v>
                </c:pt>
              </c:numCache>
            </c:numRef>
          </c:xVal>
          <c:yVal>
            <c:numRef>
              <c:f>'Reference case'!$F$129:$F$135</c:f>
              <c:numCache>
                <c:formatCode>[$$-C09]#,##0;[Red]\-[$$-C09]#,##0</c:formatCode>
                <c:ptCount val="7"/>
                <c:pt idx="0">
                  <c:v>465.07109637542828</c:v>
                </c:pt>
                <c:pt idx="1">
                  <c:v>415.22604678626459</c:v>
                </c:pt>
                <c:pt idx="2">
                  <c:v>373.08557365990862</c:v>
                </c:pt>
                <c:pt idx="3">
                  <c:v>308.43769413093787</c:v>
                </c:pt>
                <c:pt idx="4">
                  <c:v>286.08412228261</c:v>
                </c:pt>
                <c:pt idx="5">
                  <c:v>286.08412228261</c:v>
                </c:pt>
                <c:pt idx="6" formatCode="&quot;$&quot;#,##0_);[Red]\(&quot;$&quot;#,##0\)">
                  <c:v>286.08412228261</c:v>
                </c:pt>
              </c:numCache>
            </c:numRef>
          </c:yVal>
          <c:smooth val="1"/>
          <c:extLst>
            <c:ext xmlns:c16="http://schemas.microsoft.com/office/drawing/2014/chart" uri="{C3380CC4-5D6E-409C-BE32-E72D297353CC}">
              <c16:uniqueId val="{00000003-0128-4753-BD66-A80A05C83E04}"/>
            </c:ext>
          </c:extLst>
        </c:ser>
        <c:ser>
          <c:idx val="4"/>
          <c:order val="4"/>
          <c:tx>
            <c:strRef>
              <c:f>'Reference case'!$G$128</c:f>
              <c:strCache>
                <c:ptCount val="1"/>
                <c:pt idx="0">
                  <c:v>4 kW</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xVal>
            <c:numRef>
              <c:f>'Reference case'!$B$129:$B$135</c:f>
              <c:numCache>
                <c:formatCode>0</c:formatCode>
                <c:ptCount val="7"/>
                <c:pt idx="0">
                  <c:v>0</c:v>
                </c:pt>
                <c:pt idx="1">
                  <c:v>1</c:v>
                </c:pt>
                <c:pt idx="2">
                  <c:v>2</c:v>
                </c:pt>
                <c:pt idx="3">
                  <c:v>4</c:v>
                </c:pt>
                <c:pt idx="4">
                  <c:v>6</c:v>
                </c:pt>
                <c:pt idx="5">
                  <c:v>8</c:v>
                </c:pt>
                <c:pt idx="6">
                  <c:v>10</c:v>
                </c:pt>
              </c:numCache>
            </c:numRef>
          </c:xVal>
          <c:yVal>
            <c:numRef>
              <c:f>'Reference case'!$G$129:$G$135</c:f>
              <c:numCache>
                <c:formatCode>[$$-C09]#,##0;[Red]\-[$$-C09]#,##0</c:formatCode>
                <c:ptCount val="7"/>
                <c:pt idx="0">
                  <c:v>297.48384415314558</c:v>
                </c:pt>
                <c:pt idx="1">
                  <c:v>247.63879456398192</c:v>
                </c:pt>
                <c:pt idx="2">
                  <c:v>205.49832143762595</c:v>
                </c:pt>
                <c:pt idx="3">
                  <c:v>140.85044190865514</c:v>
                </c:pt>
                <c:pt idx="4">
                  <c:v>133.61760443946017</c:v>
                </c:pt>
                <c:pt idx="5">
                  <c:v>133.61760443946017</c:v>
                </c:pt>
                <c:pt idx="6" formatCode="&quot;$&quot;#,##0_);[Red]\(&quot;$&quot;#,##0\)">
                  <c:v>133.61760443946017</c:v>
                </c:pt>
              </c:numCache>
            </c:numRef>
          </c:yVal>
          <c:smooth val="1"/>
          <c:extLst>
            <c:ext xmlns:c16="http://schemas.microsoft.com/office/drawing/2014/chart" uri="{C3380CC4-5D6E-409C-BE32-E72D297353CC}">
              <c16:uniqueId val="{00000004-0128-4753-BD66-A80A05C83E04}"/>
            </c:ext>
          </c:extLst>
        </c:ser>
        <c:ser>
          <c:idx val="5"/>
          <c:order val="5"/>
          <c:tx>
            <c:strRef>
              <c:f>'Reference case'!$H$128</c:f>
              <c:strCache>
                <c:ptCount val="1"/>
                <c:pt idx="0">
                  <c:v>5 kW</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xVal>
            <c:numRef>
              <c:f>'Reference case'!$B$129:$B$135</c:f>
              <c:numCache>
                <c:formatCode>0</c:formatCode>
                <c:ptCount val="7"/>
                <c:pt idx="0">
                  <c:v>0</c:v>
                </c:pt>
                <c:pt idx="1">
                  <c:v>1</c:v>
                </c:pt>
                <c:pt idx="2">
                  <c:v>2</c:v>
                </c:pt>
                <c:pt idx="3">
                  <c:v>4</c:v>
                </c:pt>
                <c:pt idx="4">
                  <c:v>6</c:v>
                </c:pt>
                <c:pt idx="5">
                  <c:v>8</c:v>
                </c:pt>
                <c:pt idx="6">
                  <c:v>10</c:v>
                </c:pt>
              </c:numCache>
            </c:numRef>
          </c:xVal>
          <c:yVal>
            <c:numRef>
              <c:f>'Reference case'!$H$129:$H$135</c:f>
              <c:numCache>
                <c:formatCode>[$$-C09]#,##0;[Red]\-[$$-C09]#,##0</c:formatCode>
                <c:ptCount val="7"/>
                <c:pt idx="0">
                  <c:v>154.01368933420878</c:v>
                </c:pt>
                <c:pt idx="1">
                  <c:v>104.16863974504503</c:v>
                </c:pt>
                <c:pt idx="2">
                  <c:v>62.02816661868917</c:v>
                </c:pt>
                <c:pt idx="3">
                  <c:v>-2.6197129102816916</c:v>
                </c:pt>
                <c:pt idx="4">
                  <c:v>-13.819144426521348</c:v>
                </c:pt>
                <c:pt idx="5">
                  <c:v>-13.819144426521348</c:v>
                </c:pt>
                <c:pt idx="6" formatCode="&quot;$&quot;#,##0_);[Red]\(&quot;$&quot;#,##0\)">
                  <c:v>-13.819144426521348</c:v>
                </c:pt>
              </c:numCache>
            </c:numRef>
          </c:yVal>
          <c:smooth val="1"/>
          <c:extLst>
            <c:ext xmlns:c16="http://schemas.microsoft.com/office/drawing/2014/chart" uri="{C3380CC4-5D6E-409C-BE32-E72D297353CC}">
              <c16:uniqueId val="{00000005-0128-4753-BD66-A80A05C83E04}"/>
            </c:ext>
          </c:extLst>
        </c:ser>
        <c:ser>
          <c:idx val="6"/>
          <c:order val="6"/>
          <c:tx>
            <c:strRef>
              <c:f>'Reference case'!$I$128</c:f>
              <c:strCache>
                <c:ptCount val="1"/>
                <c:pt idx="0">
                  <c:v>6 kW</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Ref>
              <c:f>'Reference case'!$B$129:$B$135</c:f>
              <c:numCache>
                <c:formatCode>0</c:formatCode>
                <c:ptCount val="7"/>
                <c:pt idx="0">
                  <c:v>0</c:v>
                </c:pt>
                <c:pt idx="1">
                  <c:v>1</c:v>
                </c:pt>
                <c:pt idx="2">
                  <c:v>2</c:v>
                </c:pt>
                <c:pt idx="3">
                  <c:v>4</c:v>
                </c:pt>
                <c:pt idx="4">
                  <c:v>6</c:v>
                </c:pt>
                <c:pt idx="5">
                  <c:v>8</c:v>
                </c:pt>
                <c:pt idx="6">
                  <c:v>10</c:v>
                </c:pt>
              </c:numCache>
            </c:numRef>
          </c:xVal>
          <c:yVal>
            <c:numRef>
              <c:f>'Reference case'!$I$129:$I$135</c:f>
              <c:numCache>
                <c:formatCode>[$$-C09]#,##0;[Red]\-[$$-C09]#,##0</c:formatCode>
                <c:ptCount val="7"/>
                <c:pt idx="0">
                  <c:v>25.353899768100007</c:v>
                </c:pt>
                <c:pt idx="1">
                  <c:v>-24.49114982106363</c:v>
                </c:pt>
                <c:pt idx="2">
                  <c:v>-66.631622947419601</c:v>
                </c:pt>
                <c:pt idx="3">
                  <c:v>-131.27950247639035</c:v>
                </c:pt>
                <c:pt idx="4">
                  <c:v>-158.16710053923924</c:v>
                </c:pt>
                <c:pt idx="5">
                  <c:v>-158.16710053923924</c:v>
                </c:pt>
                <c:pt idx="6" formatCode="&quot;$&quot;#,##0_);[Red]\(&quot;$&quot;#,##0\)">
                  <c:v>-158.16710053923924</c:v>
                </c:pt>
              </c:numCache>
            </c:numRef>
          </c:yVal>
          <c:smooth val="1"/>
          <c:extLst>
            <c:ext xmlns:c16="http://schemas.microsoft.com/office/drawing/2014/chart" uri="{C3380CC4-5D6E-409C-BE32-E72D297353CC}">
              <c16:uniqueId val="{00000006-0128-4753-BD66-A80A05C83E04}"/>
            </c:ext>
          </c:extLst>
        </c:ser>
        <c:dLbls>
          <c:showLegendKey val="0"/>
          <c:showVal val="0"/>
          <c:showCatName val="0"/>
          <c:showSerName val="0"/>
          <c:showPercent val="0"/>
          <c:showBubbleSize val="0"/>
        </c:dLbls>
        <c:axId val="695078184"/>
        <c:axId val="695077200"/>
      </c:scatterChart>
      <c:valAx>
        <c:axId val="695078184"/>
        <c:scaling>
          <c:orientation val="minMax"/>
          <c:max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Battery capacity [kWh]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077200"/>
        <c:crosses val="autoZero"/>
        <c:crossBetween val="midCat"/>
      </c:valAx>
      <c:valAx>
        <c:axId val="695077200"/>
        <c:scaling>
          <c:orientation val="minMax"/>
        </c:scaling>
        <c:delete val="0"/>
        <c:axPos val="l"/>
        <c:majorGridlines>
          <c:spPr>
            <a:ln w="9525" cap="flat" cmpd="sng" algn="ctr">
              <a:solidFill>
                <a:schemeClr val="tx1">
                  <a:lumMod val="15000"/>
                  <a:lumOff val="85000"/>
                </a:schemeClr>
              </a:solidFill>
              <a:round/>
            </a:ln>
            <a:effectLst/>
          </c:spPr>
        </c:majorGridlines>
        <c:numFmt formatCode="[$$-C09]#,##0;[Red]\-[$$-C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07818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'Reference case'!$C$69</c:f>
          <c:strCache>
            <c:ptCount val="1"/>
            <c:pt idx="0">
              <c:v>Energy bills vs star rating and PV (battery = 0kWh)</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'Reference case'!$C$70</c:f>
              <c:strCache>
                <c:ptCount val="1"/>
                <c:pt idx="0">
                  <c:v>0 kW</c:v>
                </c:pt>
              </c:strCache>
            </c:strRef>
          </c:tx>
          <c:spPr>
            <a:ln w="28575" cap="rnd">
              <a:solidFill>
                <a:schemeClr val="accent1"/>
              </a:solidFill>
              <a:round/>
            </a:ln>
            <a:effectLst/>
          </c:spPr>
          <c:marker>
            <c:symbol val="none"/>
          </c:marker>
          <c:cat>
            <c:numRef>
              <c:f>'Reference case'!$B$71:$B$75</c:f>
              <c:numCache>
                <c:formatCode>0.0</c:formatCode>
                <c:ptCount val="5"/>
                <c:pt idx="0">
                  <c:v>6</c:v>
                </c:pt>
                <c:pt idx="1">
                  <c:v>7</c:v>
                </c:pt>
                <c:pt idx="2">
                  <c:v>7.9999999999999902</c:v>
                </c:pt>
                <c:pt idx="3">
                  <c:v>8.9999999999999893</c:v>
                </c:pt>
                <c:pt idx="4">
                  <c:v>9.9999999999999893</c:v>
                </c:pt>
              </c:numCache>
            </c:numRef>
          </c:cat>
          <c:val>
            <c:numRef>
              <c:f>'Reference case'!$C$71:$C$75</c:f>
              <c:numCache>
                <c:formatCode>[$$-C09]#,##0;[Red]\-[$$-C09]#,##0</c:formatCode>
                <c:ptCount val="5"/>
                <c:pt idx="0">
                  <c:v>1355.0004226965373</c:v>
                </c:pt>
                <c:pt idx="1">
                  <c:v>1299.167089363204</c:v>
                </c:pt>
                <c:pt idx="2">
                  <c:v>1250.6163647255225</c:v>
                </c:pt>
                <c:pt idx="3">
                  <c:v>1200.4472825999189</c:v>
                </c:pt>
                <c:pt idx="4">
                  <c:v>1157.5608091699671</c:v>
                </c:pt>
              </c:numCache>
            </c:numRef>
          </c:val>
          <c:smooth val="0"/>
          <c:extLst>
            <c:ext xmlns:c16="http://schemas.microsoft.com/office/drawing/2014/chart" uri="{C3380CC4-5D6E-409C-BE32-E72D297353CC}">
              <c16:uniqueId val="{00000000-952B-4D95-8246-33999F667F29}"/>
            </c:ext>
          </c:extLst>
        </c:ser>
        <c:ser>
          <c:idx val="1"/>
          <c:order val="1"/>
          <c:tx>
            <c:strRef>
              <c:f>'Reference case'!$D$70</c:f>
              <c:strCache>
                <c:ptCount val="1"/>
                <c:pt idx="0">
                  <c:v>2 kW</c:v>
                </c:pt>
              </c:strCache>
            </c:strRef>
          </c:tx>
          <c:spPr>
            <a:ln w="28575" cap="rnd">
              <a:solidFill>
                <a:schemeClr val="accent2"/>
              </a:solidFill>
              <a:round/>
            </a:ln>
            <a:effectLst/>
          </c:spPr>
          <c:marker>
            <c:symbol val="none"/>
          </c:marker>
          <c:cat>
            <c:numRef>
              <c:f>'Reference case'!$B$71:$B$75</c:f>
              <c:numCache>
                <c:formatCode>0.0</c:formatCode>
                <c:ptCount val="5"/>
                <c:pt idx="0">
                  <c:v>6</c:v>
                </c:pt>
                <c:pt idx="1">
                  <c:v>7</c:v>
                </c:pt>
                <c:pt idx="2">
                  <c:v>7.9999999999999902</c:v>
                </c:pt>
                <c:pt idx="3">
                  <c:v>8.9999999999999893</c:v>
                </c:pt>
                <c:pt idx="4">
                  <c:v>9.9999999999999893</c:v>
                </c:pt>
              </c:numCache>
            </c:numRef>
          </c:cat>
          <c:val>
            <c:numRef>
              <c:f>'Reference case'!$D$71:$D$75</c:f>
              <c:numCache>
                <c:formatCode>[$$-C09]#,##0;[Red]\-[$$-C09]#,##0</c:formatCode>
                <c:ptCount val="5"/>
                <c:pt idx="0">
                  <c:v>751.71918469148011</c:v>
                </c:pt>
                <c:pt idx="1">
                  <c:v>695.88585135814674</c:v>
                </c:pt>
                <c:pt idx="2">
                  <c:v>647.3351267204655</c:v>
                </c:pt>
                <c:pt idx="3">
                  <c:v>597.16604459486166</c:v>
                </c:pt>
                <c:pt idx="4">
                  <c:v>554.27957116490995</c:v>
                </c:pt>
              </c:numCache>
            </c:numRef>
          </c:val>
          <c:smooth val="0"/>
          <c:extLst>
            <c:ext xmlns:c16="http://schemas.microsoft.com/office/drawing/2014/chart" uri="{C3380CC4-5D6E-409C-BE32-E72D297353CC}">
              <c16:uniqueId val="{00000001-952B-4D95-8246-33999F667F29}"/>
            </c:ext>
          </c:extLst>
        </c:ser>
        <c:ser>
          <c:idx val="2"/>
          <c:order val="2"/>
          <c:tx>
            <c:strRef>
              <c:f>'Reference case'!$E$70</c:f>
              <c:strCache>
                <c:ptCount val="1"/>
                <c:pt idx="0">
                  <c:v>4 kW</c:v>
                </c:pt>
              </c:strCache>
            </c:strRef>
          </c:tx>
          <c:spPr>
            <a:ln w="28575" cap="rnd">
              <a:solidFill>
                <a:schemeClr val="accent3"/>
              </a:solidFill>
              <a:round/>
            </a:ln>
            <a:effectLst/>
          </c:spPr>
          <c:marker>
            <c:symbol val="none"/>
          </c:marker>
          <c:cat>
            <c:numRef>
              <c:f>'Reference case'!$B$71:$B$75</c:f>
              <c:numCache>
                <c:formatCode>0.0</c:formatCode>
                <c:ptCount val="5"/>
                <c:pt idx="0">
                  <c:v>6</c:v>
                </c:pt>
                <c:pt idx="1">
                  <c:v>7</c:v>
                </c:pt>
                <c:pt idx="2">
                  <c:v>7.9999999999999902</c:v>
                </c:pt>
                <c:pt idx="3">
                  <c:v>8.9999999999999893</c:v>
                </c:pt>
                <c:pt idx="4">
                  <c:v>9.9999999999999893</c:v>
                </c:pt>
              </c:numCache>
            </c:numRef>
          </c:cat>
          <c:val>
            <c:numRef>
              <c:f>'Reference case'!$E$71:$E$75</c:f>
              <c:numCache>
                <c:formatCode>[$$-C09]#,##0;[Red]\-[$$-C09]#,##0</c:formatCode>
                <c:ptCount val="5"/>
                <c:pt idx="0">
                  <c:v>379.21089729324223</c:v>
                </c:pt>
                <c:pt idx="1">
                  <c:v>323.3775639599088</c:v>
                </c:pt>
                <c:pt idx="2">
                  <c:v>274.82683932222773</c:v>
                </c:pt>
                <c:pt idx="3">
                  <c:v>224.65775719662406</c:v>
                </c:pt>
                <c:pt idx="4">
                  <c:v>181.77128376667216</c:v>
                </c:pt>
              </c:numCache>
            </c:numRef>
          </c:val>
          <c:smooth val="0"/>
          <c:extLst>
            <c:ext xmlns:c16="http://schemas.microsoft.com/office/drawing/2014/chart" uri="{C3380CC4-5D6E-409C-BE32-E72D297353CC}">
              <c16:uniqueId val="{00000002-952B-4D95-8246-33999F667F29}"/>
            </c:ext>
          </c:extLst>
        </c:ser>
        <c:ser>
          <c:idx val="3"/>
          <c:order val="3"/>
          <c:tx>
            <c:strRef>
              <c:f>'Reference case'!$F$70</c:f>
              <c:strCache>
                <c:ptCount val="1"/>
                <c:pt idx="0">
                  <c:v>6 kW</c:v>
                </c:pt>
              </c:strCache>
            </c:strRef>
          </c:tx>
          <c:spPr>
            <a:ln w="28575" cap="rnd">
              <a:solidFill>
                <a:schemeClr val="accent4"/>
              </a:solidFill>
              <a:round/>
            </a:ln>
            <a:effectLst/>
          </c:spPr>
          <c:marker>
            <c:symbol val="none"/>
          </c:marker>
          <c:cat>
            <c:numRef>
              <c:f>'Reference case'!$B$71:$B$75</c:f>
              <c:numCache>
                <c:formatCode>0.0</c:formatCode>
                <c:ptCount val="5"/>
                <c:pt idx="0">
                  <c:v>6</c:v>
                </c:pt>
                <c:pt idx="1">
                  <c:v>7</c:v>
                </c:pt>
                <c:pt idx="2">
                  <c:v>7.9999999999999902</c:v>
                </c:pt>
                <c:pt idx="3">
                  <c:v>8.9999999999999893</c:v>
                </c:pt>
                <c:pt idx="4">
                  <c:v>9.9999999999999893</c:v>
                </c:pt>
              </c:numCache>
            </c:numRef>
          </c:cat>
          <c:val>
            <c:numRef>
              <c:f>'Reference case'!$F$71:$F$75</c:f>
              <c:numCache>
                <c:formatCode>[$$-C09]#,##0;\-[$$-C09]#,##0</c:formatCode>
                <c:ptCount val="5"/>
                <c:pt idx="0">
                  <c:v>107.08095290819693</c:v>
                </c:pt>
                <c:pt idx="1">
                  <c:v>51.247619574863506</c:v>
                </c:pt>
                <c:pt idx="2">
                  <c:v>2.6968949371821509</c:v>
                </c:pt>
                <c:pt idx="3">
                  <c:v>-47.472187188421799</c:v>
                </c:pt>
                <c:pt idx="4">
                  <c:v>-90.358660618373676</c:v>
                </c:pt>
              </c:numCache>
            </c:numRef>
          </c:val>
          <c:smooth val="0"/>
          <c:extLst>
            <c:ext xmlns:c16="http://schemas.microsoft.com/office/drawing/2014/chart" uri="{C3380CC4-5D6E-409C-BE32-E72D297353CC}">
              <c16:uniqueId val="{00000003-952B-4D95-8246-33999F667F29}"/>
            </c:ext>
          </c:extLst>
        </c:ser>
        <c:ser>
          <c:idx val="4"/>
          <c:order val="4"/>
          <c:tx>
            <c:strRef>
              <c:f>'Reference case'!$G$70</c:f>
              <c:strCache>
                <c:ptCount val="1"/>
                <c:pt idx="0">
                  <c:v>8 kW</c:v>
                </c:pt>
              </c:strCache>
            </c:strRef>
          </c:tx>
          <c:spPr>
            <a:ln w="28575" cap="rnd">
              <a:solidFill>
                <a:schemeClr val="accent5"/>
              </a:solidFill>
              <a:round/>
            </a:ln>
            <a:effectLst/>
          </c:spPr>
          <c:marker>
            <c:symbol val="none"/>
          </c:marker>
          <c:cat>
            <c:numRef>
              <c:f>'Reference case'!$B$71:$B$75</c:f>
              <c:numCache>
                <c:formatCode>0.0</c:formatCode>
                <c:ptCount val="5"/>
                <c:pt idx="0">
                  <c:v>6</c:v>
                </c:pt>
                <c:pt idx="1">
                  <c:v>7</c:v>
                </c:pt>
                <c:pt idx="2">
                  <c:v>7.9999999999999902</c:v>
                </c:pt>
                <c:pt idx="3">
                  <c:v>8.9999999999999893</c:v>
                </c:pt>
                <c:pt idx="4">
                  <c:v>9.9999999999999893</c:v>
                </c:pt>
              </c:numCache>
            </c:numRef>
          </c:cat>
          <c:val>
            <c:numRef>
              <c:f>'Reference case'!$G$71:$G$75</c:f>
              <c:numCache>
                <c:formatCode>"$"#,##0</c:formatCode>
                <c:ptCount val="5"/>
                <c:pt idx="0">
                  <c:v>-129.57422344117185</c:v>
                </c:pt>
                <c:pt idx="1">
                  <c:v>-185.40755677450534</c:v>
                </c:pt>
                <c:pt idx="2">
                  <c:v>-233.95828141218658</c:v>
                </c:pt>
                <c:pt idx="3">
                  <c:v>-284.12736353779064</c:v>
                </c:pt>
                <c:pt idx="4">
                  <c:v>-327.01383696774246</c:v>
                </c:pt>
              </c:numCache>
            </c:numRef>
          </c:val>
          <c:smooth val="0"/>
          <c:extLst>
            <c:ext xmlns:c16="http://schemas.microsoft.com/office/drawing/2014/chart" uri="{C3380CC4-5D6E-409C-BE32-E72D297353CC}">
              <c16:uniqueId val="{00000004-952B-4D95-8246-33999F667F29}"/>
            </c:ext>
          </c:extLst>
        </c:ser>
        <c:ser>
          <c:idx val="5"/>
          <c:order val="5"/>
          <c:tx>
            <c:strRef>
              <c:f>'Reference case'!$H$70</c:f>
              <c:strCache>
                <c:ptCount val="1"/>
                <c:pt idx="0">
                  <c:v>10 kW</c:v>
                </c:pt>
              </c:strCache>
            </c:strRef>
          </c:tx>
          <c:spPr>
            <a:ln w="28575" cap="rnd">
              <a:solidFill>
                <a:schemeClr val="accent6"/>
              </a:solidFill>
              <a:round/>
            </a:ln>
            <a:effectLst/>
          </c:spPr>
          <c:marker>
            <c:symbol val="none"/>
          </c:marker>
          <c:cat>
            <c:numRef>
              <c:f>'Reference case'!$B$71:$B$75</c:f>
              <c:numCache>
                <c:formatCode>0.0</c:formatCode>
                <c:ptCount val="5"/>
                <c:pt idx="0">
                  <c:v>6</c:v>
                </c:pt>
                <c:pt idx="1">
                  <c:v>7</c:v>
                </c:pt>
                <c:pt idx="2">
                  <c:v>7.9999999999999902</c:v>
                </c:pt>
                <c:pt idx="3">
                  <c:v>8.9999999999999893</c:v>
                </c:pt>
                <c:pt idx="4">
                  <c:v>9.9999999999999893</c:v>
                </c:pt>
              </c:numCache>
            </c:numRef>
          </c:cat>
          <c:val>
            <c:numRef>
              <c:f>'Reference case'!$H$71:$H$75</c:f>
              <c:numCache>
                <c:formatCode>"$"#,##0</c:formatCode>
                <c:ptCount val="5"/>
                <c:pt idx="0">
                  <c:v>-361.00440134337612</c:v>
                </c:pt>
                <c:pt idx="1">
                  <c:v>-416.83773467670903</c:v>
                </c:pt>
                <c:pt idx="2">
                  <c:v>-465.38845931439039</c:v>
                </c:pt>
                <c:pt idx="3">
                  <c:v>-515.55754143999434</c:v>
                </c:pt>
                <c:pt idx="4">
                  <c:v>-558.4440148699457</c:v>
                </c:pt>
              </c:numCache>
            </c:numRef>
          </c:val>
          <c:smooth val="0"/>
          <c:extLst>
            <c:ext xmlns:c16="http://schemas.microsoft.com/office/drawing/2014/chart" uri="{C3380CC4-5D6E-409C-BE32-E72D297353CC}">
              <c16:uniqueId val="{00000005-952B-4D95-8246-33999F667F29}"/>
            </c:ext>
          </c:extLst>
        </c:ser>
        <c:dLbls>
          <c:showLegendKey val="0"/>
          <c:showVal val="0"/>
          <c:showCatName val="0"/>
          <c:showSerName val="0"/>
          <c:showPercent val="0"/>
          <c:showBubbleSize val="0"/>
        </c:dLbls>
        <c:smooth val="0"/>
        <c:axId val="574276520"/>
        <c:axId val="574270616"/>
      </c:lineChart>
      <c:catAx>
        <c:axId val="57427652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NatHERS</a:t>
                </a:r>
                <a:r>
                  <a:rPr lang="en-AU" baseline="0"/>
                  <a:t> rating</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70616"/>
        <c:crosses val="autoZero"/>
        <c:auto val="1"/>
        <c:lblAlgn val="ctr"/>
        <c:lblOffset val="100"/>
        <c:noMultiLvlLbl val="0"/>
      </c:catAx>
      <c:valAx>
        <c:axId val="574270616"/>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Annual</a:t>
                </a:r>
                <a:r>
                  <a:rPr lang="en-AU" baseline="0"/>
                  <a:t> energy bill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C09]#,##0;[Red]\-[$$-C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765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PV self</a:t>
            </a:r>
            <a:r>
              <a:rPr lang="en-AU" baseline="0"/>
              <a:t>-consumption rate vs PV capacity</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'Common Assumptions'!$B$30:$B$49</c:f>
              <c:numCache>
                <c:formatCode>0.0</c:formatCode>
                <c:ptCount val="20"/>
                <c:pt idx="0">
                  <c:v>0</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pt idx="16">
                  <c:v>8.5</c:v>
                </c:pt>
                <c:pt idx="17">
                  <c:v>9</c:v>
                </c:pt>
                <c:pt idx="18">
                  <c:v>9.5</c:v>
                </c:pt>
                <c:pt idx="19">
                  <c:v>10</c:v>
                </c:pt>
              </c:numCache>
            </c:numRef>
          </c:xVal>
          <c:yVal>
            <c:numRef>
              <c:f>'Common Assumptions'!$C$30:$C$49</c:f>
              <c:numCache>
                <c:formatCode>0.0%</c:formatCode>
                <c:ptCount val="20"/>
                <c:pt idx="0">
                  <c:v>1</c:v>
                </c:pt>
                <c:pt idx="1">
                  <c:v>0.78950018297702051</c:v>
                </c:pt>
                <c:pt idx="2">
                  <c:v>0.70150109374785474</c:v>
                </c:pt>
                <c:pt idx="3">
                  <c:v>0.62331053892074895</c:v>
                </c:pt>
                <c:pt idx="4">
                  <c:v>0.55383524187251132</c:v>
                </c:pt>
                <c:pt idx="5">
                  <c:v>0.49210378452943654</c:v>
                </c:pt>
                <c:pt idx="6">
                  <c:v>0.43725302479747014</c:v>
                </c:pt>
                <c:pt idx="7">
                  <c:v>0.38851602792967443</c:v>
                </c:pt>
                <c:pt idx="8">
                  <c:v>0.3452113430848584</c:v>
                </c:pt>
                <c:pt idx="9">
                  <c:v>0.30673347513998317</c:v>
                </c:pt>
                <c:pt idx="10">
                  <c:v>0.27254441853123873</c:v>
                </c:pt>
                <c:pt idx="11">
                  <c:v>0.2421661347481941</c:v>
                </c:pt>
                <c:pt idx="12">
                  <c:v>0.21517386829977864</c:v>
                </c:pt>
                <c:pt idx="13">
                  <c:v>0.19119020769453704</c:v>
                </c:pt>
                <c:pt idx="14">
                  <c:v>0.16987980839454855</c:v>
                </c:pt>
                <c:pt idx="15">
                  <c:v>0.15094470395825157</c:v>
                </c:pt>
                <c:pt idx="16">
                  <c:v>0.13412013981159729</c:v>
                </c:pt>
                <c:pt idx="17">
                  <c:v>0.11917087139445183</c:v>
                </c:pt>
                <c:pt idx="18">
                  <c:v>0.10588787492215962</c:v>
                </c:pt>
                <c:pt idx="19">
                  <c:v>9.4085424771450682E-2</c:v>
                </c:pt>
              </c:numCache>
            </c:numRef>
          </c:yVal>
          <c:smooth val="0"/>
          <c:extLst>
            <c:ext xmlns:c16="http://schemas.microsoft.com/office/drawing/2014/chart" uri="{C3380CC4-5D6E-409C-BE32-E72D297353CC}">
              <c16:uniqueId val="{00000000-F226-4B34-9C0F-A39F783BB0AC}"/>
            </c:ext>
          </c:extLst>
        </c:ser>
        <c:dLbls>
          <c:showLegendKey val="0"/>
          <c:showVal val="0"/>
          <c:showCatName val="0"/>
          <c:showSerName val="0"/>
          <c:showPercent val="0"/>
          <c:showBubbleSize val="0"/>
        </c:dLbls>
        <c:axId val="642103464"/>
        <c:axId val="642104776"/>
      </c:scatterChart>
      <c:valAx>
        <c:axId val="642103464"/>
        <c:scaling>
          <c:orientation val="minMax"/>
          <c:max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PV capacity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104776"/>
        <c:crosses val="autoZero"/>
        <c:crossBetween val="midCat"/>
      </c:valAx>
      <c:valAx>
        <c:axId val="64210477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Self consumption rate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1034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Battery!$C$20</c:f>
              <c:strCache>
                <c:ptCount val="1"/>
                <c:pt idx="0">
                  <c:v>Battery utilisation factor</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Battery!$B$21:$B$41</c:f>
              <c:numCache>
                <c:formatCode>0.0</c:formatCode>
                <c:ptCount val="21"/>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3.6</c:v>
                </c:pt>
                <c:pt idx="19">
                  <c:v>3.8</c:v>
                </c:pt>
                <c:pt idx="20">
                  <c:v>4</c:v>
                </c:pt>
              </c:numCache>
            </c:numRef>
          </c:xVal>
          <c:yVal>
            <c:numRef>
              <c:f>Battery!$C$21:$C$41</c:f>
              <c:numCache>
                <c:formatCode>0%</c:formatCode>
                <c:ptCount val="21"/>
                <c:pt idx="0">
                  <c:v>1</c:v>
                </c:pt>
                <c:pt idx="1">
                  <c:v>0.87040209146966419</c:v>
                </c:pt>
                <c:pt idx="2">
                  <c:v>0.75759980083476564</c:v>
                </c:pt>
                <c:pt idx="3">
                  <c:v>0.65941645114358105</c:v>
                </c:pt>
                <c:pt idx="4">
                  <c:v>0.57395745822487654</c:v>
                </c:pt>
                <c:pt idx="5">
                  <c:v>0.49957377205354503</c:v>
                </c:pt>
                <c:pt idx="6">
                  <c:v>0.43483005603879488</c:v>
                </c:pt>
                <c:pt idx="7">
                  <c:v>0.37847699021003828</c:v>
                </c:pt>
                <c:pt idx="8">
                  <c:v>0.32942716385196091</c:v>
                </c:pt>
                <c:pt idx="9">
                  <c:v>0.2867340924036666</c:v>
                </c:pt>
                <c:pt idx="10">
                  <c:v>0.24957395372380733</c:v>
                </c:pt>
                <c:pt idx="11">
                  <c:v>0.21722969129755507</c:v>
                </c:pt>
                <c:pt idx="12">
                  <c:v>0.18907717763470147</c:v>
                </c:pt>
                <c:pt idx="13">
                  <c:v>0.16457317086242534</c:v>
                </c:pt>
                <c:pt idx="14">
                  <c:v>0.14324483211844943</c:v>
                </c:pt>
                <c:pt idx="15">
                  <c:v>0.12468060146811931</c:v>
                </c:pt>
                <c:pt idx="16">
                  <c:v>0.1085222562835467</c:v>
                </c:pt>
                <c:pt idx="17">
                  <c:v>9.4457998840205976E-2</c:v>
                </c:pt>
                <c:pt idx="18">
                  <c:v>8.2216439746554404E-2</c:v>
                </c:pt>
                <c:pt idx="19">
                  <c:v>7.1561361108590599E-2</c:v>
                </c:pt>
                <c:pt idx="20">
                  <c:v>6.2287158377333132E-2</c:v>
                </c:pt>
              </c:numCache>
            </c:numRef>
          </c:yVal>
          <c:smooth val="0"/>
          <c:extLst>
            <c:ext xmlns:c16="http://schemas.microsoft.com/office/drawing/2014/chart" uri="{C3380CC4-5D6E-409C-BE32-E72D297353CC}">
              <c16:uniqueId val="{00000000-D702-42DA-867C-0FFD20791144}"/>
            </c:ext>
          </c:extLst>
        </c:ser>
        <c:dLbls>
          <c:showLegendKey val="0"/>
          <c:showVal val="0"/>
          <c:showCatName val="0"/>
          <c:showSerName val="0"/>
          <c:showPercent val="0"/>
          <c:showBubbleSize val="0"/>
        </c:dLbls>
        <c:axId val="437326088"/>
        <c:axId val="431578880"/>
      </c:scatterChart>
      <c:valAx>
        <c:axId val="4373260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Battery capacity ratio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578880"/>
        <c:crosses val="autoZero"/>
        <c:crossBetween val="midCat"/>
      </c:valAx>
      <c:valAx>
        <c:axId val="431578880"/>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Battery utilisation nfactor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3260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114300</xdr:colOff>
      <xdr:row>41</xdr:row>
      <xdr:rowOff>0</xdr:rowOff>
    </xdr:to>
    <xdr:sp macro="" textlink="">
      <xdr:nvSpPr>
        <xdr:cNvPr id="1026" name="shapetype_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699874</xdr:colOff>
      <xdr:row>45</xdr:row>
      <xdr:rowOff>73934</xdr:rowOff>
    </xdr:from>
    <xdr:to>
      <xdr:col>9</xdr:col>
      <xdr:colOff>257640</xdr:colOff>
      <xdr:row>64</xdr:row>
      <xdr:rowOff>25959</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553639</xdr:colOff>
      <xdr:row>126</xdr:row>
      <xdr:rowOff>9525</xdr:rowOff>
    </xdr:from>
    <xdr:to>
      <xdr:col>8</xdr:col>
      <xdr:colOff>726281</xdr:colOff>
      <xdr:row>159</xdr:row>
      <xdr:rowOff>142876</xdr:rowOff>
    </xdr:to>
    <xdr:graphicFrame macro="">
      <xdr:nvGraphicFramePr>
        <xdr:cNvPr id="2" name="Chart 1">
          <a:extLst>
            <a:ext uri="{FF2B5EF4-FFF2-40B4-BE49-F238E27FC236}">
              <a16:creationId xmlns:a16="http://schemas.microsoft.com/office/drawing/2014/main" id="{0B3270FC-777C-42D7-AB8D-5E7AC05865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125014</xdr:colOff>
      <xdr:row>52</xdr:row>
      <xdr:rowOff>11906</xdr:rowOff>
    </xdr:from>
    <xdr:to>
      <xdr:col>21</xdr:col>
      <xdr:colOff>666750</xdr:colOff>
      <xdr:row>78</xdr:row>
      <xdr:rowOff>154781</xdr:rowOff>
    </xdr:to>
    <xdr:graphicFrame macro="">
      <xdr:nvGraphicFramePr>
        <xdr:cNvPr id="4" name="Chart 3">
          <a:extLst>
            <a:ext uri="{FF2B5EF4-FFF2-40B4-BE49-F238E27FC236}">
              <a16:creationId xmlns:a16="http://schemas.microsoft.com/office/drawing/2014/main" id="{BC74ABB8-5DA7-437F-8790-0C54768F6C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6720</xdr:colOff>
      <xdr:row>58</xdr:row>
      <xdr:rowOff>100370</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1006092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6720</xdr:colOff>
      <xdr:row>58</xdr:row>
      <xdr:rowOff>100370</xdr:rowOff>
    </xdr:to>
    <xdr:sp macro="" textlink="">
      <xdr:nvSpPr>
        <xdr:cNvPr id="3" name="CustomShape 1" hidden="1">
          <a:extLst>
            <a:ext uri="{FF2B5EF4-FFF2-40B4-BE49-F238E27FC236}">
              <a16:creationId xmlns:a16="http://schemas.microsoft.com/office/drawing/2014/main" id="{00000000-0008-0000-0200-000003000000}"/>
            </a:ext>
          </a:extLst>
        </xdr:cNvPr>
        <xdr:cNvSpPr/>
      </xdr:nvSpPr>
      <xdr:spPr>
        <a:xfrm>
          <a:off x="0" y="0"/>
          <a:ext cx="1006092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6720</xdr:colOff>
      <xdr:row>58</xdr:row>
      <xdr:rowOff>100370</xdr:rowOff>
    </xdr:to>
    <xdr:sp macro="" textlink="">
      <xdr:nvSpPr>
        <xdr:cNvPr id="4" name="CustomShape 1" hidden="1">
          <a:extLst>
            <a:ext uri="{FF2B5EF4-FFF2-40B4-BE49-F238E27FC236}">
              <a16:creationId xmlns:a16="http://schemas.microsoft.com/office/drawing/2014/main" id="{00000000-0008-0000-0200-000004000000}"/>
            </a:ext>
          </a:extLst>
        </xdr:cNvPr>
        <xdr:cNvSpPr/>
      </xdr:nvSpPr>
      <xdr:spPr>
        <a:xfrm>
          <a:off x="0" y="0"/>
          <a:ext cx="1006092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6720</xdr:colOff>
      <xdr:row>58</xdr:row>
      <xdr:rowOff>100370</xdr:rowOff>
    </xdr:to>
    <xdr:sp macro="" textlink="">
      <xdr:nvSpPr>
        <xdr:cNvPr id="5" name="CustomShape 1" hidden="1">
          <a:extLst>
            <a:ext uri="{FF2B5EF4-FFF2-40B4-BE49-F238E27FC236}">
              <a16:creationId xmlns:a16="http://schemas.microsoft.com/office/drawing/2014/main" id="{00000000-0008-0000-0200-000005000000}"/>
            </a:ext>
          </a:extLst>
        </xdr:cNvPr>
        <xdr:cNvSpPr/>
      </xdr:nvSpPr>
      <xdr:spPr>
        <a:xfrm>
          <a:off x="0" y="0"/>
          <a:ext cx="1006092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6720</xdr:colOff>
      <xdr:row>58</xdr:row>
      <xdr:rowOff>100370</xdr:rowOff>
    </xdr:to>
    <xdr:sp macro="" textlink="">
      <xdr:nvSpPr>
        <xdr:cNvPr id="6" name="CustomShape 1" hidden="1">
          <a:extLst>
            <a:ext uri="{FF2B5EF4-FFF2-40B4-BE49-F238E27FC236}">
              <a16:creationId xmlns:a16="http://schemas.microsoft.com/office/drawing/2014/main" id="{00000000-0008-0000-0200-000006000000}"/>
            </a:ext>
          </a:extLst>
        </xdr:cNvPr>
        <xdr:cNvSpPr/>
      </xdr:nvSpPr>
      <xdr:spPr>
        <a:xfrm>
          <a:off x="0" y="0"/>
          <a:ext cx="1006092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6720</xdr:colOff>
      <xdr:row>58</xdr:row>
      <xdr:rowOff>100370</xdr:rowOff>
    </xdr:to>
    <xdr:sp macro="" textlink="">
      <xdr:nvSpPr>
        <xdr:cNvPr id="7" name="CustomShape 1" hidden="1">
          <a:extLst>
            <a:ext uri="{FF2B5EF4-FFF2-40B4-BE49-F238E27FC236}">
              <a16:creationId xmlns:a16="http://schemas.microsoft.com/office/drawing/2014/main" id="{00000000-0008-0000-0200-000007000000}"/>
            </a:ext>
          </a:extLst>
        </xdr:cNvPr>
        <xdr:cNvSpPr/>
      </xdr:nvSpPr>
      <xdr:spPr>
        <a:xfrm>
          <a:off x="0" y="0"/>
          <a:ext cx="1006092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6720</xdr:colOff>
      <xdr:row>58</xdr:row>
      <xdr:rowOff>100370</xdr:rowOff>
    </xdr:to>
    <xdr:sp macro="" textlink="">
      <xdr:nvSpPr>
        <xdr:cNvPr id="8" name="CustomShape 1" hidden="1">
          <a:extLst>
            <a:ext uri="{FF2B5EF4-FFF2-40B4-BE49-F238E27FC236}">
              <a16:creationId xmlns:a16="http://schemas.microsoft.com/office/drawing/2014/main" id="{00000000-0008-0000-0200-000008000000}"/>
            </a:ext>
          </a:extLst>
        </xdr:cNvPr>
        <xdr:cNvSpPr/>
      </xdr:nvSpPr>
      <xdr:spPr>
        <a:xfrm>
          <a:off x="0" y="0"/>
          <a:ext cx="1006092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6720</xdr:colOff>
      <xdr:row>58</xdr:row>
      <xdr:rowOff>100370</xdr:rowOff>
    </xdr:to>
    <xdr:sp macro="" textlink="">
      <xdr:nvSpPr>
        <xdr:cNvPr id="9" name="CustomShape 1" hidden="1">
          <a:extLst>
            <a:ext uri="{FF2B5EF4-FFF2-40B4-BE49-F238E27FC236}">
              <a16:creationId xmlns:a16="http://schemas.microsoft.com/office/drawing/2014/main" id="{00000000-0008-0000-0200-000009000000}"/>
            </a:ext>
          </a:extLst>
        </xdr:cNvPr>
        <xdr:cNvSpPr/>
      </xdr:nvSpPr>
      <xdr:spPr>
        <a:xfrm>
          <a:off x="0" y="0"/>
          <a:ext cx="1006092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6720</xdr:colOff>
      <xdr:row>58</xdr:row>
      <xdr:rowOff>100370</xdr:rowOff>
    </xdr:to>
    <xdr:sp macro="" textlink="">
      <xdr:nvSpPr>
        <xdr:cNvPr id="10" name="CustomShape 1" hidden="1">
          <a:extLst>
            <a:ext uri="{FF2B5EF4-FFF2-40B4-BE49-F238E27FC236}">
              <a16:creationId xmlns:a16="http://schemas.microsoft.com/office/drawing/2014/main" id="{00000000-0008-0000-0200-00000A000000}"/>
            </a:ext>
          </a:extLst>
        </xdr:cNvPr>
        <xdr:cNvSpPr/>
      </xdr:nvSpPr>
      <xdr:spPr>
        <a:xfrm>
          <a:off x="0" y="0"/>
          <a:ext cx="1006092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247650</xdr:colOff>
      <xdr:row>50</xdr:row>
      <xdr:rowOff>0</xdr:rowOff>
    </xdr:to>
    <xdr:sp macro="" textlink="">
      <xdr:nvSpPr>
        <xdr:cNvPr id="2066" name="shapetype_202" hidden="1">
          <a:extLst>
            <a:ext uri="{FF2B5EF4-FFF2-40B4-BE49-F238E27FC236}">
              <a16:creationId xmlns:a16="http://schemas.microsoft.com/office/drawing/2014/main" id="{00000000-0008-0000-0200-00001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247650</xdr:colOff>
      <xdr:row>50</xdr:row>
      <xdr:rowOff>0</xdr:rowOff>
    </xdr:to>
    <xdr:sp macro="" textlink="">
      <xdr:nvSpPr>
        <xdr:cNvPr id="2064" name="shapetype_202" hidden="1">
          <a:extLst>
            <a:ext uri="{FF2B5EF4-FFF2-40B4-BE49-F238E27FC236}">
              <a16:creationId xmlns:a16="http://schemas.microsoft.com/office/drawing/2014/main" id="{00000000-0008-0000-0200-000010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247650</xdr:colOff>
      <xdr:row>50</xdr:row>
      <xdr:rowOff>0</xdr:rowOff>
    </xdr:to>
    <xdr:sp macro="" textlink="">
      <xdr:nvSpPr>
        <xdr:cNvPr id="2062" name="shapetype_202" hidden="1">
          <a:extLst>
            <a:ext uri="{FF2B5EF4-FFF2-40B4-BE49-F238E27FC236}">
              <a16:creationId xmlns:a16="http://schemas.microsoft.com/office/drawing/2014/main" id="{00000000-0008-0000-0200-00000E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247650</xdr:colOff>
      <xdr:row>50</xdr:row>
      <xdr:rowOff>0</xdr:rowOff>
    </xdr:to>
    <xdr:sp macro="" textlink="">
      <xdr:nvSpPr>
        <xdr:cNvPr id="2060" name="shapetype_202" hidden="1">
          <a:extLst>
            <a:ext uri="{FF2B5EF4-FFF2-40B4-BE49-F238E27FC236}">
              <a16:creationId xmlns:a16="http://schemas.microsoft.com/office/drawing/2014/main" id="{00000000-0008-0000-0200-00000C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247650</xdr:colOff>
      <xdr:row>50</xdr:row>
      <xdr:rowOff>0</xdr:rowOff>
    </xdr:to>
    <xdr:sp macro="" textlink="">
      <xdr:nvSpPr>
        <xdr:cNvPr id="2058" name="shapetype_202" hidden="1">
          <a:extLst>
            <a:ext uri="{FF2B5EF4-FFF2-40B4-BE49-F238E27FC236}">
              <a16:creationId xmlns:a16="http://schemas.microsoft.com/office/drawing/2014/main" id="{00000000-0008-0000-0200-00000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247650</xdr:colOff>
      <xdr:row>50</xdr:row>
      <xdr:rowOff>0</xdr:rowOff>
    </xdr:to>
    <xdr:sp macro="" textlink="">
      <xdr:nvSpPr>
        <xdr:cNvPr id="2056" name="shapetype_202" hidden="1">
          <a:extLst>
            <a:ext uri="{FF2B5EF4-FFF2-40B4-BE49-F238E27FC236}">
              <a16:creationId xmlns:a16="http://schemas.microsoft.com/office/drawing/2014/main" id="{00000000-0008-0000-0200-00000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247650</xdr:colOff>
      <xdr:row>50</xdr:row>
      <xdr:rowOff>0</xdr:rowOff>
    </xdr:to>
    <xdr:sp macro="" textlink="">
      <xdr:nvSpPr>
        <xdr:cNvPr id="2054" name="shapetype_202" hidden="1">
          <a:extLst>
            <a:ext uri="{FF2B5EF4-FFF2-40B4-BE49-F238E27FC236}">
              <a16:creationId xmlns:a16="http://schemas.microsoft.com/office/drawing/2014/main" id="{00000000-0008-0000-0200-00000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247650</xdr:colOff>
      <xdr:row>50</xdr:row>
      <xdr:rowOff>0</xdr:rowOff>
    </xdr:to>
    <xdr:sp macro="" textlink="">
      <xdr:nvSpPr>
        <xdr:cNvPr id="2052" name="shapetype_202" hidden="1">
          <a:extLst>
            <a:ext uri="{FF2B5EF4-FFF2-40B4-BE49-F238E27FC236}">
              <a16:creationId xmlns:a16="http://schemas.microsoft.com/office/drawing/2014/main" id="{00000000-0008-0000-0200-00000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247650</xdr:colOff>
      <xdr:row>50</xdr:row>
      <xdr:rowOff>0</xdr:rowOff>
    </xdr:to>
    <xdr:sp macro="" textlink="">
      <xdr:nvSpPr>
        <xdr:cNvPr id="2050" name="shapetype_202" hidden="1">
          <a:extLst>
            <a:ext uri="{FF2B5EF4-FFF2-40B4-BE49-F238E27FC236}">
              <a16:creationId xmlns:a16="http://schemas.microsoft.com/office/drawing/2014/main" id="{00000000-0008-0000-02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5</xdr:col>
      <xdr:colOff>346983</xdr:colOff>
      <xdr:row>26</xdr:row>
      <xdr:rowOff>0</xdr:rowOff>
    </xdr:from>
    <xdr:to>
      <xdr:col>11</xdr:col>
      <xdr:colOff>730250</xdr:colOff>
      <xdr:row>48</xdr:row>
      <xdr:rowOff>95250</xdr:rowOff>
    </xdr:to>
    <xdr:graphicFrame macro="">
      <xdr:nvGraphicFramePr>
        <xdr:cNvPr id="11" name="Chart 10">
          <a:extLst>
            <a:ext uri="{FF2B5EF4-FFF2-40B4-BE49-F238E27FC236}">
              <a16:creationId xmlns:a16="http://schemas.microsoft.com/office/drawing/2014/main" id="{708DDA43-A403-47EB-8C5A-BCE667EC96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333000</xdr:colOff>
      <xdr:row>57</xdr:row>
      <xdr:rowOff>127728</xdr:rowOff>
    </xdr:to>
    <xdr:sp macro="" textlink="">
      <xdr:nvSpPr>
        <xdr:cNvPr id="9" name="CustomShape 1" hidden="1">
          <a:extLst>
            <a:ext uri="{FF2B5EF4-FFF2-40B4-BE49-F238E27FC236}">
              <a16:creationId xmlns:a16="http://schemas.microsoft.com/office/drawing/2014/main" id="{00000000-0008-0000-0300-000009000000}"/>
            </a:ext>
          </a:extLst>
        </xdr:cNvPr>
        <xdr:cNvSpPr/>
      </xdr:nvSpPr>
      <xdr:spPr>
        <a:xfrm>
          <a:off x="0" y="0"/>
          <a:ext cx="10055160" cy="95295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333375</xdr:colOff>
      <xdr:row>50</xdr:row>
      <xdr:rowOff>114300</xdr:rowOff>
    </xdr:to>
    <xdr:sp macro="" textlink="">
      <xdr:nvSpPr>
        <xdr:cNvPr id="3074" name="shapetype_202" hidden="1">
          <a:extLst>
            <a:ext uri="{FF2B5EF4-FFF2-40B4-BE49-F238E27FC236}">
              <a16:creationId xmlns:a16="http://schemas.microsoft.com/office/drawing/2014/main" id="{00000000-0008-0000-03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679832</xdr:colOff>
      <xdr:row>58</xdr:row>
      <xdr:rowOff>132840</xdr:rowOff>
    </xdr:to>
    <xdr:sp macro="" textlink="">
      <xdr:nvSpPr>
        <xdr:cNvPr id="10" name="CustomShape 1" hidden="1">
          <a:extLst>
            <a:ext uri="{FF2B5EF4-FFF2-40B4-BE49-F238E27FC236}">
              <a16:creationId xmlns:a16="http://schemas.microsoft.com/office/drawing/2014/main" id="{00000000-0008-0000-0400-00000A000000}"/>
            </a:ext>
          </a:extLst>
        </xdr:cNvPr>
        <xdr:cNvSpPr/>
      </xdr:nvSpPr>
      <xdr:spPr>
        <a:xfrm>
          <a:off x="0" y="0"/>
          <a:ext cx="1006164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679832</xdr:colOff>
      <xdr:row>58</xdr:row>
      <xdr:rowOff>132840</xdr:rowOff>
    </xdr:to>
    <xdr:sp macro="" textlink="">
      <xdr:nvSpPr>
        <xdr:cNvPr id="11" name="CustomShape 1" hidden="1">
          <a:extLst>
            <a:ext uri="{FF2B5EF4-FFF2-40B4-BE49-F238E27FC236}">
              <a16:creationId xmlns:a16="http://schemas.microsoft.com/office/drawing/2014/main" id="{00000000-0008-0000-0400-00000B000000}"/>
            </a:ext>
          </a:extLst>
        </xdr:cNvPr>
        <xdr:cNvSpPr/>
      </xdr:nvSpPr>
      <xdr:spPr>
        <a:xfrm>
          <a:off x="0" y="0"/>
          <a:ext cx="1006164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679832</xdr:colOff>
      <xdr:row>58</xdr:row>
      <xdr:rowOff>132840</xdr:rowOff>
    </xdr:to>
    <xdr:sp macro="" textlink="">
      <xdr:nvSpPr>
        <xdr:cNvPr id="12" name="CustomShape 1" hidden="1">
          <a:extLst>
            <a:ext uri="{FF2B5EF4-FFF2-40B4-BE49-F238E27FC236}">
              <a16:creationId xmlns:a16="http://schemas.microsoft.com/office/drawing/2014/main" id="{00000000-0008-0000-0400-00000C000000}"/>
            </a:ext>
          </a:extLst>
        </xdr:cNvPr>
        <xdr:cNvSpPr/>
      </xdr:nvSpPr>
      <xdr:spPr>
        <a:xfrm>
          <a:off x="0" y="0"/>
          <a:ext cx="1006164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679832</xdr:colOff>
      <xdr:row>58</xdr:row>
      <xdr:rowOff>132840</xdr:rowOff>
    </xdr:to>
    <xdr:sp macro="" textlink="">
      <xdr:nvSpPr>
        <xdr:cNvPr id="13" name="CustomShape 1" hidden="1">
          <a:extLst>
            <a:ext uri="{FF2B5EF4-FFF2-40B4-BE49-F238E27FC236}">
              <a16:creationId xmlns:a16="http://schemas.microsoft.com/office/drawing/2014/main" id="{00000000-0008-0000-0400-00000D000000}"/>
            </a:ext>
          </a:extLst>
        </xdr:cNvPr>
        <xdr:cNvSpPr/>
      </xdr:nvSpPr>
      <xdr:spPr>
        <a:xfrm>
          <a:off x="0" y="0"/>
          <a:ext cx="1006164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238125</xdr:colOff>
      <xdr:row>36</xdr:row>
      <xdr:rowOff>133350</xdr:rowOff>
    </xdr:to>
    <xdr:sp macro="" textlink="">
      <xdr:nvSpPr>
        <xdr:cNvPr id="4104" name="shapetype_202" hidden="1">
          <a:extLst>
            <a:ext uri="{FF2B5EF4-FFF2-40B4-BE49-F238E27FC236}">
              <a16:creationId xmlns:a16="http://schemas.microsoft.com/office/drawing/2014/main" id="{00000000-0008-0000-0400-000008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238125</xdr:colOff>
      <xdr:row>36</xdr:row>
      <xdr:rowOff>133350</xdr:rowOff>
    </xdr:to>
    <xdr:sp macro="" textlink="">
      <xdr:nvSpPr>
        <xdr:cNvPr id="4102" name="shapetype_202" hidden="1">
          <a:extLst>
            <a:ext uri="{FF2B5EF4-FFF2-40B4-BE49-F238E27FC236}">
              <a16:creationId xmlns:a16="http://schemas.microsoft.com/office/drawing/2014/main" id="{00000000-0008-0000-0400-000006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238125</xdr:colOff>
      <xdr:row>36</xdr:row>
      <xdr:rowOff>133350</xdr:rowOff>
    </xdr:to>
    <xdr:sp macro="" textlink="">
      <xdr:nvSpPr>
        <xdr:cNvPr id="4100" name="shapetype_202" hidden="1">
          <a:extLst>
            <a:ext uri="{FF2B5EF4-FFF2-40B4-BE49-F238E27FC236}">
              <a16:creationId xmlns:a16="http://schemas.microsoft.com/office/drawing/2014/main" id="{00000000-0008-0000-04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238125</xdr:colOff>
      <xdr:row>36</xdr:row>
      <xdr:rowOff>133350</xdr:rowOff>
    </xdr:to>
    <xdr:sp macro="" textlink="">
      <xdr:nvSpPr>
        <xdr:cNvPr id="4098" name="shapetype_202" hidden="1">
          <a:extLst>
            <a:ext uri="{FF2B5EF4-FFF2-40B4-BE49-F238E27FC236}">
              <a16:creationId xmlns:a16="http://schemas.microsoft.com/office/drawing/2014/main" id="{00000000-0008-0000-04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609120</xdr:colOff>
      <xdr:row>58</xdr:row>
      <xdr:rowOff>132840</xdr:rowOff>
    </xdr:to>
    <xdr:sp macro="" textlink="">
      <xdr:nvSpPr>
        <xdr:cNvPr id="14" name="CustomShape 1" hidden="1">
          <a:extLst>
            <a:ext uri="{FF2B5EF4-FFF2-40B4-BE49-F238E27FC236}">
              <a16:creationId xmlns:a16="http://schemas.microsoft.com/office/drawing/2014/main" id="{00000000-0008-0000-0600-00000E000000}"/>
            </a:ext>
          </a:extLst>
        </xdr:cNvPr>
        <xdr:cNvSpPr/>
      </xdr:nvSpPr>
      <xdr:spPr>
        <a:xfrm>
          <a:off x="0" y="0"/>
          <a:ext cx="1003932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609600</xdr:colOff>
      <xdr:row>61</xdr:row>
      <xdr:rowOff>133350</xdr:rowOff>
    </xdr:to>
    <xdr:sp macro="" textlink="">
      <xdr:nvSpPr>
        <xdr:cNvPr id="5126" name="shapetype_202" hidden="1">
          <a:extLst>
            <a:ext uri="{FF2B5EF4-FFF2-40B4-BE49-F238E27FC236}">
              <a16:creationId xmlns:a16="http://schemas.microsoft.com/office/drawing/2014/main" id="{00000000-0008-0000-0600-000006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609600</xdr:colOff>
      <xdr:row>61</xdr:row>
      <xdr:rowOff>133350</xdr:rowOff>
    </xdr:to>
    <xdr:sp macro="" textlink="">
      <xdr:nvSpPr>
        <xdr:cNvPr id="5124" name="shapetype_202" hidden="1">
          <a:extLst>
            <a:ext uri="{FF2B5EF4-FFF2-40B4-BE49-F238E27FC236}">
              <a16:creationId xmlns:a16="http://schemas.microsoft.com/office/drawing/2014/main" id="{00000000-0008-0000-0600-000004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609600</xdr:colOff>
      <xdr:row>61</xdr:row>
      <xdr:rowOff>133350</xdr:rowOff>
    </xdr:to>
    <xdr:sp macro="" textlink="">
      <xdr:nvSpPr>
        <xdr:cNvPr id="5122" name="shapetype_202" hidden="1">
          <a:extLst>
            <a:ext uri="{FF2B5EF4-FFF2-40B4-BE49-F238E27FC236}">
              <a16:creationId xmlns:a16="http://schemas.microsoft.com/office/drawing/2014/main" id="{00000000-0008-0000-0600-000002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258610</xdr:colOff>
      <xdr:row>54</xdr:row>
      <xdr:rowOff>71967</xdr:rowOff>
    </xdr:to>
    <xdr:sp macro="" textlink="">
      <xdr:nvSpPr>
        <xdr:cNvPr id="15" name="CustomShape 1" hidden="1">
          <a:extLst>
            <a:ext uri="{FF2B5EF4-FFF2-40B4-BE49-F238E27FC236}">
              <a16:creationId xmlns:a16="http://schemas.microsoft.com/office/drawing/2014/main" id="{00000000-0008-0000-0700-00000F000000}"/>
            </a:ext>
          </a:extLst>
        </xdr:cNvPr>
        <xdr:cNvSpPr/>
      </xdr:nvSpPr>
      <xdr:spPr>
        <a:xfrm>
          <a:off x="0" y="0"/>
          <a:ext cx="11575800" cy="90280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258610</xdr:colOff>
      <xdr:row>54</xdr:row>
      <xdr:rowOff>71967</xdr:rowOff>
    </xdr:to>
    <xdr:sp macro="" textlink="">
      <xdr:nvSpPr>
        <xdr:cNvPr id="16" name="CustomShape 1" hidden="1">
          <a:extLst>
            <a:ext uri="{FF2B5EF4-FFF2-40B4-BE49-F238E27FC236}">
              <a16:creationId xmlns:a16="http://schemas.microsoft.com/office/drawing/2014/main" id="{00000000-0008-0000-0700-000010000000}"/>
            </a:ext>
          </a:extLst>
        </xdr:cNvPr>
        <xdr:cNvSpPr/>
      </xdr:nvSpPr>
      <xdr:spPr>
        <a:xfrm>
          <a:off x="0" y="0"/>
          <a:ext cx="11575800" cy="90280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258610</xdr:colOff>
      <xdr:row>54</xdr:row>
      <xdr:rowOff>71967</xdr:rowOff>
    </xdr:to>
    <xdr:sp macro="" textlink="">
      <xdr:nvSpPr>
        <xdr:cNvPr id="17" name="CustomShape 1" hidden="1">
          <a:extLst>
            <a:ext uri="{FF2B5EF4-FFF2-40B4-BE49-F238E27FC236}">
              <a16:creationId xmlns:a16="http://schemas.microsoft.com/office/drawing/2014/main" id="{00000000-0008-0000-0700-000011000000}"/>
            </a:ext>
          </a:extLst>
        </xdr:cNvPr>
        <xdr:cNvSpPr/>
      </xdr:nvSpPr>
      <xdr:spPr>
        <a:xfrm>
          <a:off x="0" y="0"/>
          <a:ext cx="11575800" cy="90280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258610</xdr:colOff>
      <xdr:row>54</xdr:row>
      <xdr:rowOff>71967</xdr:rowOff>
    </xdr:to>
    <xdr:sp macro="" textlink="">
      <xdr:nvSpPr>
        <xdr:cNvPr id="18" name="CustomShape 1" hidden="1">
          <a:extLst>
            <a:ext uri="{FF2B5EF4-FFF2-40B4-BE49-F238E27FC236}">
              <a16:creationId xmlns:a16="http://schemas.microsoft.com/office/drawing/2014/main" id="{00000000-0008-0000-0700-000012000000}"/>
            </a:ext>
          </a:extLst>
        </xdr:cNvPr>
        <xdr:cNvSpPr/>
      </xdr:nvSpPr>
      <xdr:spPr>
        <a:xfrm>
          <a:off x="0" y="0"/>
          <a:ext cx="11575800" cy="90280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7</xdr:col>
      <xdr:colOff>695325</xdr:colOff>
      <xdr:row>56</xdr:row>
      <xdr:rowOff>133350</xdr:rowOff>
    </xdr:to>
    <xdr:sp macro="" textlink="">
      <xdr:nvSpPr>
        <xdr:cNvPr id="6152" name="shapetype_202" hidden="1">
          <a:extLst>
            <a:ext uri="{FF2B5EF4-FFF2-40B4-BE49-F238E27FC236}">
              <a16:creationId xmlns:a16="http://schemas.microsoft.com/office/drawing/2014/main" id="{00000000-0008-0000-0700-000008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695325</xdr:colOff>
      <xdr:row>56</xdr:row>
      <xdr:rowOff>133350</xdr:rowOff>
    </xdr:to>
    <xdr:sp macro="" textlink="">
      <xdr:nvSpPr>
        <xdr:cNvPr id="6150" name="shapetype_202" hidden="1">
          <a:extLst>
            <a:ext uri="{FF2B5EF4-FFF2-40B4-BE49-F238E27FC236}">
              <a16:creationId xmlns:a16="http://schemas.microsoft.com/office/drawing/2014/main" id="{00000000-0008-0000-0700-000006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695325</xdr:colOff>
      <xdr:row>56</xdr:row>
      <xdr:rowOff>133350</xdr:rowOff>
    </xdr:to>
    <xdr:sp macro="" textlink="">
      <xdr:nvSpPr>
        <xdr:cNvPr id="6148" name="shapetype_202" hidden="1">
          <a:extLst>
            <a:ext uri="{FF2B5EF4-FFF2-40B4-BE49-F238E27FC236}">
              <a16:creationId xmlns:a16="http://schemas.microsoft.com/office/drawing/2014/main" id="{00000000-0008-0000-0700-000004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695325</xdr:colOff>
      <xdr:row>56</xdr:row>
      <xdr:rowOff>133350</xdr:rowOff>
    </xdr:to>
    <xdr:sp macro="" textlink="">
      <xdr:nvSpPr>
        <xdr:cNvPr id="6146" name="shapetype_202" hidden="1">
          <a:extLst>
            <a:ext uri="{FF2B5EF4-FFF2-40B4-BE49-F238E27FC236}">
              <a16:creationId xmlns:a16="http://schemas.microsoft.com/office/drawing/2014/main" id="{00000000-0008-0000-0700-000002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308429</xdr:colOff>
      <xdr:row>10</xdr:row>
      <xdr:rowOff>67356</xdr:rowOff>
    </xdr:from>
    <xdr:to>
      <xdr:col>11</xdr:col>
      <xdr:colOff>78242</xdr:colOff>
      <xdr:row>29</xdr:row>
      <xdr:rowOff>23813</xdr:rowOff>
    </xdr:to>
    <xdr:graphicFrame macro="">
      <xdr:nvGraphicFramePr>
        <xdr:cNvPr id="2" name="Chart 1">
          <a:extLst>
            <a:ext uri="{FF2B5EF4-FFF2-40B4-BE49-F238E27FC236}">
              <a16:creationId xmlns:a16="http://schemas.microsoft.com/office/drawing/2014/main" id="{0A6F0D43-409A-4608-994B-09086897A4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hyperlink" Target="http://www.nathers.gov.au/files/publications/NatHERS%20Star%20bands.pdf"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zoomScale="140" zoomScaleNormal="140" workbookViewId="0">
      <selection activeCell="B18" sqref="B18"/>
    </sheetView>
  </sheetViews>
  <sheetFormatPr defaultRowHeight="12.75" x14ac:dyDescent="0.2"/>
  <cols>
    <col min="1" max="1" width="11.42578125" customWidth="1"/>
    <col min="2" max="2" width="110.140625" customWidth="1"/>
    <col min="3" max="1025" width="11.42578125" customWidth="1"/>
  </cols>
  <sheetData>
    <row r="1" spans="1:3" x14ac:dyDescent="0.2">
      <c r="A1" s="83" t="s">
        <v>110</v>
      </c>
      <c r="B1" s="46" t="s">
        <v>115</v>
      </c>
    </row>
    <row r="2" spans="1:3" ht="52.5" customHeight="1" x14ac:dyDescent="0.2">
      <c r="A2" s="32" t="s">
        <v>0</v>
      </c>
      <c r="B2" s="85" t="s">
        <v>114</v>
      </c>
    </row>
    <row r="3" spans="1:3" x14ac:dyDescent="0.2">
      <c r="A3" s="1" t="s">
        <v>1</v>
      </c>
      <c r="B3" t="s">
        <v>111</v>
      </c>
    </row>
    <row r="4" spans="1:3" x14ac:dyDescent="0.2">
      <c r="A4" s="1" t="s">
        <v>2</v>
      </c>
      <c r="B4" t="s">
        <v>109</v>
      </c>
    </row>
    <row r="5" spans="1:3" x14ac:dyDescent="0.2">
      <c r="A5" s="1" t="s">
        <v>3</v>
      </c>
      <c r="B5" s="3">
        <v>43269</v>
      </c>
    </row>
    <row r="6" spans="1:3" x14ac:dyDescent="0.2">
      <c r="A6" s="1" t="s">
        <v>4</v>
      </c>
      <c r="B6" s="78" t="s">
        <v>301</v>
      </c>
    </row>
    <row r="7" spans="1:3" x14ac:dyDescent="0.2">
      <c r="A7" s="1" t="s">
        <v>269</v>
      </c>
      <c r="B7" t="s">
        <v>270</v>
      </c>
    </row>
    <row r="8" spans="1:3" x14ac:dyDescent="0.2">
      <c r="A8" s="1"/>
    </row>
    <row r="9" spans="1:3" ht="13.5" customHeight="1" x14ac:dyDescent="0.2">
      <c r="A9" s="32" t="s">
        <v>112</v>
      </c>
      <c r="B9" s="84" t="s">
        <v>113</v>
      </c>
    </row>
    <row r="12" spans="1:3" x14ac:dyDescent="0.2">
      <c r="A12" t="s">
        <v>260</v>
      </c>
      <c r="B12" t="s">
        <v>279</v>
      </c>
      <c r="C12" s="236">
        <v>43122</v>
      </c>
    </row>
    <row r="13" spans="1:3" x14ac:dyDescent="0.2">
      <c r="A13" t="s">
        <v>268</v>
      </c>
      <c r="B13" t="s">
        <v>280</v>
      </c>
      <c r="C13" s="236">
        <v>43123</v>
      </c>
    </row>
    <row r="14" spans="1:3" x14ac:dyDescent="0.2">
      <c r="A14" t="s">
        <v>277</v>
      </c>
      <c r="B14" t="s">
        <v>278</v>
      </c>
      <c r="C14" s="236">
        <v>43126</v>
      </c>
    </row>
    <row r="15" spans="1:3" x14ac:dyDescent="0.2">
      <c r="A15" t="s">
        <v>281</v>
      </c>
      <c r="B15" t="s">
        <v>282</v>
      </c>
      <c r="C15" s="236">
        <v>43133</v>
      </c>
    </row>
    <row r="16" spans="1:3" x14ac:dyDescent="0.2">
      <c r="A16" t="s">
        <v>287</v>
      </c>
      <c r="B16" t="s">
        <v>288</v>
      </c>
      <c r="C16" s="236">
        <v>43179</v>
      </c>
    </row>
    <row r="17" spans="1:3" x14ac:dyDescent="0.2">
      <c r="A17" t="s">
        <v>301</v>
      </c>
      <c r="B17" t="s">
        <v>313</v>
      </c>
      <c r="C17" s="236">
        <v>43269</v>
      </c>
    </row>
  </sheetData>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A137"/>
  <sheetViews>
    <sheetView zoomScale="80" zoomScaleNormal="80" workbookViewId="0">
      <selection activeCell="B4" sqref="B4"/>
    </sheetView>
  </sheetViews>
  <sheetFormatPr defaultRowHeight="12.75" x14ac:dyDescent="0.2"/>
  <cols>
    <col min="1" max="1" width="36.140625" customWidth="1"/>
    <col min="2" max="2" width="16" customWidth="1"/>
    <col min="3" max="3" width="13.7109375" customWidth="1"/>
    <col min="4" max="1025" width="11.42578125" customWidth="1"/>
  </cols>
  <sheetData>
    <row r="1" spans="1:27" x14ac:dyDescent="0.2">
      <c r="A1" s="4" t="s">
        <v>5</v>
      </c>
    </row>
    <row r="2" spans="1:27" x14ac:dyDescent="0.2">
      <c r="A2" t="s">
        <v>163</v>
      </c>
      <c r="F2" t="str">
        <f>"Sensitivity analysis for annual energy bill with PV and star ratings as variables (assuming battery size of "&amp;$B$7&amp;"kWh)"</f>
        <v>Sensitivity analysis for annual energy bill with PV and star ratings as variables (assuming battery size of 0kWh)</v>
      </c>
    </row>
    <row r="3" spans="1:27" x14ac:dyDescent="0.2">
      <c r="E3" s="265"/>
      <c r="F3" s="42"/>
      <c r="G3" s="44" t="s">
        <v>27</v>
      </c>
      <c r="H3" s="44"/>
      <c r="I3" s="44"/>
      <c r="J3" s="44"/>
      <c r="K3" s="44"/>
      <c r="L3" s="44"/>
      <c r="M3" s="45"/>
    </row>
    <row r="4" spans="1:27" x14ac:dyDescent="0.2">
      <c r="A4" s="197" t="s">
        <v>122</v>
      </c>
      <c r="B4" s="315" t="s">
        <v>140</v>
      </c>
      <c r="C4" s="47"/>
      <c r="E4" s="314"/>
      <c r="F4" s="54">
        <f>B12</f>
        <v>561.85014965036635</v>
      </c>
      <c r="G4" s="38">
        <v>0</v>
      </c>
      <c r="H4" s="38">
        <v>0.5</v>
      </c>
      <c r="I4" s="38">
        <v>1</v>
      </c>
      <c r="J4" s="38">
        <v>1.5</v>
      </c>
      <c r="K4" s="38">
        <v>2</v>
      </c>
      <c r="L4" s="38">
        <v>2.5</v>
      </c>
      <c r="M4" s="38">
        <v>3</v>
      </c>
      <c r="N4" s="38">
        <v>3.5</v>
      </c>
      <c r="O4" s="38">
        <v>4</v>
      </c>
      <c r="P4" s="38">
        <v>4.5</v>
      </c>
      <c r="Q4" s="38">
        <v>5</v>
      </c>
      <c r="R4" s="38">
        <v>5.5</v>
      </c>
      <c r="S4" s="38">
        <v>6</v>
      </c>
      <c r="T4" s="38">
        <v>6.5</v>
      </c>
      <c r="U4" s="38">
        <v>7</v>
      </c>
      <c r="V4" s="38">
        <v>7.5</v>
      </c>
      <c r="W4" s="38">
        <v>8</v>
      </c>
      <c r="X4" s="38">
        <v>8.5</v>
      </c>
      <c r="Y4" s="38">
        <v>9</v>
      </c>
      <c r="Z4" s="38">
        <v>9.5</v>
      </c>
      <c r="AA4" s="38">
        <v>10</v>
      </c>
    </row>
    <row r="5" spans="1:27" x14ac:dyDescent="0.2">
      <c r="A5" s="199" t="s">
        <v>200</v>
      </c>
      <c r="B5" s="313">
        <v>2.5</v>
      </c>
      <c r="C5" s="266" t="s">
        <v>96</v>
      </c>
      <c r="D5" s="43"/>
      <c r="E5" s="146" t="s">
        <v>91</v>
      </c>
      <c r="F5" s="161">
        <v>6</v>
      </c>
      <c r="G5" s="180">
        <f t="dataTable" ref="G5:AA45" dt2D="1" dtr="1" r1="B5" r2="B6" ca="1"/>
        <v>1355.0004226965373</v>
      </c>
      <c r="H5" s="159">
        <v>1171.5945045178214</v>
      </c>
      <c r="I5" s="164">
        <v>1012.5240167357897</v>
      </c>
      <c r="J5" s="159">
        <v>873.72025406623425</v>
      </c>
      <c r="K5" s="164">
        <v>751.71918469148011</v>
      </c>
      <c r="L5" s="159">
        <v>643.57720279046293</v>
      </c>
      <c r="M5" s="164">
        <v>546.79814951552487</v>
      </c>
      <c r="N5" s="167">
        <v>459.27013708139049</v>
      </c>
      <c r="O5" s="165">
        <v>379.21089729324223</v>
      </c>
      <c r="P5" s="168">
        <v>305.12053909597358</v>
      </c>
      <c r="Q5" s="165">
        <v>235.74074247430536</v>
      </c>
      <c r="R5" s="168">
        <v>170.01954081691332</v>
      </c>
      <c r="S5" s="165">
        <v>107.08095290819693</v>
      </c>
      <c r="T5" s="168">
        <v>46.198820985784721</v>
      </c>
      <c r="U5" s="165">
        <v>-13.225705483466413</v>
      </c>
      <c r="V5" s="168">
        <v>-71.683527996650128</v>
      </c>
      <c r="W5" s="165">
        <v>-129.57422344117185</v>
      </c>
      <c r="X5" s="168">
        <v>-187.2203036743847</v>
      </c>
      <c r="Y5" s="165">
        <v>-244.87943089917974</v>
      </c>
      <c r="Z5" s="168">
        <v>-302.75486737963377</v>
      </c>
      <c r="AA5" s="165">
        <v>-361.00440134337612</v>
      </c>
    </row>
    <row r="6" spans="1:27" x14ac:dyDescent="0.2">
      <c r="A6" s="199" t="s">
        <v>201</v>
      </c>
      <c r="B6" s="257">
        <v>7.5</v>
      </c>
      <c r="C6" s="266"/>
      <c r="D6" s="43"/>
      <c r="E6" s="147"/>
      <c r="F6" s="40">
        <v>6.1</v>
      </c>
      <c r="G6" s="160">
        <v>1349.3361714888078</v>
      </c>
      <c r="H6" s="160">
        <v>1165.9302533100918</v>
      </c>
      <c r="I6" s="160">
        <v>1006.8597655280603</v>
      </c>
      <c r="J6" s="160">
        <v>868.05600285850471</v>
      </c>
      <c r="K6" s="160">
        <v>746.05493348375069</v>
      </c>
      <c r="L6" s="160">
        <v>637.9129515827334</v>
      </c>
      <c r="M6" s="160">
        <v>541.13389830779545</v>
      </c>
      <c r="N6" s="81">
        <v>453.60588587366107</v>
      </c>
      <c r="O6" s="81">
        <v>373.54664608551275</v>
      </c>
      <c r="P6" s="81">
        <v>299.45628788824411</v>
      </c>
      <c r="Q6" s="81">
        <v>230.07649126657594</v>
      </c>
      <c r="R6" s="81">
        <v>164.35528960918384</v>
      </c>
      <c r="S6" s="81">
        <v>101.41670170046746</v>
      </c>
      <c r="T6" s="81">
        <v>40.534569778055243</v>
      </c>
      <c r="U6" s="81">
        <v>-18.889956691195835</v>
      </c>
      <c r="V6" s="81">
        <v>-77.347779204379549</v>
      </c>
      <c r="W6" s="81">
        <v>-135.23847464890139</v>
      </c>
      <c r="X6" s="81">
        <v>-192.88455488211423</v>
      </c>
      <c r="Y6" s="81">
        <v>-250.54368210690927</v>
      </c>
      <c r="Z6" s="81">
        <v>-308.41911858736319</v>
      </c>
      <c r="AA6" s="81">
        <v>-366.66865255110565</v>
      </c>
    </row>
    <row r="7" spans="1:27" x14ac:dyDescent="0.2">
      <c r="A7" s="199" t="s">
        <v>202</v>
      </c>
      <c r="B7" s="113">
        <v>0</v>
      </c>
      <c r="C7" s="267"/>
      <c r="D7" s="56"/>
      <c r="E7" s="147"/>
      <c r="F7" s="40">
        <v>6.2</v>
      </c>
      <c r="G7" s="160">
        <v>1343.6719202810782</v>
      </c>
      <c r="H7" s="160">
        <v>1160.2660021023623</v>
      </c>
      <c r="I7" s="160">
        <v>1001.1955143203307</v>
      </c>
      <c r="J7" s="160">
        <v>862.39175165077529</v>
      </c>
      <c r="K7" s="160">
        <v>740.39068227602115</v>
      </c>
      <c r="L7" s="160">
        <v>632.24870037500398</v>
      </c>
      <c r="M7" s="160">
        <v>535.46964710006591</v>
      </c>
      <c r="N7" s="81">
        <v>447.94163466593159</v>
      </c>
      <c r="O7" s="81">
        <v>367.88239487778327</v>
      </c>
      <c r="P7" s="81">
        <v>293.79203668051463</v>
      </c>
      <c r="Q7" s="81">
        <v>224.41224005884646</v>
      </c>
      <c r="R7" s="81">
        <v>158.69103840145436</v>
      </c>
      <c r="S7" s="81">
        <v>95.752450492737978</v>
      </c>
      <c r="T7" s="81">
        <v>34.870318570325765</v>
      </c>
      <c r="U7" s="81">
        <v>-24.554207898925313</v>
      </c>
      <c r="V7" s="81">
        <v>-83.01203041210897</v>
      </c>
      <c r="W7" s="81">
        <v>-140.90272585663081</v>
      </c>
      <c r="X7" s="81">
        <v>-198.54880608984365</v>
      </c>
      <c r="Y7" s="81">
        <v>-256.20793331463869</v>
      </c>
      <c r="Z7" s="81">
        <v>-314.08336979509272</v>
      </c>
      <c r="AA7" s="81">
        <v>-372.33290375883507</v>
      </c>
    </row>
    <row r="8" spans="1:27" ht="12.75" customHeight="1" x14ac:dyDescent="0.2">
      <c r="A8" s="175" t="s">
        <v>108</v>
      </c>
      <c r="B8" s="186">
        <v>1</v>
      </c>
      <c r="C8" s="271" t="s">
        <v>118</v>
      </c>
      <c r="D8" s="56"/>
      <c r="E8" s="147"/>
      <c r="F8" s="40">
        <v>6.3</v>
      </c>
      <c r="G8" s="160">
        <v>1338.0076690733488</v>
      </c>
      <c r="H8" s="160">
        <v>1154.6017508946329</v>
      </c>
      <c r="I8" s="160">
        <v>995.53126311260132</v>
      </c>
      <c r="J8" s="160">
        <v>856.72750044304587</v>
      </c>
      <c r="K8" s="160">
        <v>734.72643106829173</v>
      </c>
      <c r="L8" s="160">
        <v>626.58444916727456</v>
      </c>
      <c r="M8" s="160">
        <v>529.80539589233649</v>
      </c>
      <c r="N8" s="81">
        <v>442.27738345820211</v>
      </c>
      <c r="O8" s="81">
        <v>362.21814367005379</v>
      </c>
      <c r="P8" s="81">
        <v>288.12778547278521</v>
      </c>
      <c r="Q8" s="81">
        <v>218.74798885111699</v>
      </c>
      <c r="R8" s="81">
        <v>153.02678719372489</v>
      </c>
      <c r="S8" s="81">
        <v>90.0881992850085</v>
      </c>
      <c r="T8" s="81">
        <v>29.206067362596343</v>
      </c>
      <c r="U8" s="81">
        <v>-30.218459106654791</v>
      </c>
      <c r="V8" s="81">
        <v>-88.676281619838505</v>
      </c>
      <c r="W8" s="81">
        <v>-146.56697706436034</v>
      </c>
      <c r="X8" s="81">
        <v>-204.21305729757307</v>
      </c>
      <c r="Y8" s="81">
        <v>-261.87218452236823</v>
      </c>
      <c r="Z8" s="81">
        <v>-319.74762100282214</v>
      </c>
      <c r="AA8" s="81">
        <v>-377.99715496656461</v>
      </c>
    </row>
    <row r="9" spans="1:27" x14ac:dyDescent="0.2">
      <c r="A9" s="176" t="s">
        <v>7</v>
      </c>
      <c r="B9" s="187">
        <v>3</v>
      </c>
      <c r="C9" s="272"/>
      <c r="D9" s="56"/>
      <c r="E9" s="147"/>
      <c r="F9" s="40">
        <v>6.4</v>
      </c>
      <c r="G9" s="160">
        <v>1332.3434178656191</v>
      </c>
      <c r="H9" s="160">
        <v>1148.9374996869033</v>
      </c>
      <c r="I9" s="160">
        <v>989.86701190487167</v>
      </c>
      <c r="J9" s="160">
        <v>851.06324923531611</v>
      </c>
      <c r="K9" s="160">
        <v>729.06217986056197</v>
      </c>
      <c r="L9" s="160">
        <v>620.92019795954479</v>
      </c>
      <c r="M9" s="160">
        <v>524.14114468460707</v>
      </c>
      <c r="N9" s="81">
        <v>436.61313225047263</v>
      </c>
      <c r="O9" s="81">
        <v>356.55389246232431</v>
      </c>
      <c r="P9" s="81">
        <v>282.46353426505544</v>
      </c>
      <c r="Q9" s="81">
        <v>213.08373764338751</v>
      </c>
      <c r="R9" s="81">
        <v>147.36253598599541</v>
      </c>
      <c r="S9" s="81">
        <v>84.42394807727851</v>
      </c>
      <c r="T9" s="81">
        <v>23.541816154866865</v>
      </c>
      <c r="U9" s="81">
        <v>-35.882710314384781</v>
      </c>
      <c r="V9" s="81">
        <v>-94.340532827568495</v>
      </c>
      <c r="W9" s="81">
        <v>-152.23122827209033</v>
      </c>
      <c r="X9" s="81">
        <v>-209.87730850530261</v>
      </c>
      <c r="Y9" s="81">
        <v>-267.53643573009822</v>
      </c>
      <c r="Z9" s="81">
        <v>-325.41187221055168</v>
      </c>
      <c r="AA9" s="81">
        <v>-383.66140617429403</v>
      </c>
    </row>
    <row r="10" spans="1:27" x14ac:dyDescent="0.2">
      <c r="A10" s="200" t="s">
        <v>222</v>
      </c>
      <c r="B10" s="188" t="s">
        <v>216</v>
      </c>
      <c r="C10" s="272"/>
      <c r="D10" s="56"/>
      <c r="E10" s="147"/>
      <c r="F10" s="40">
        <v>6.5</v>
      </c>
      <c r="G10" s="160">
        <v>1326.6791666578897</v>
      </c>
      <c r="H10" s="160">
        <v>1143.2732484791741</v>
      </c>
      <c r="I10" s="160">
        <v>984.20276069714237</v>
      </c>
      <c r="J10" s="160">
        <v>845.39899802758691</v>
      </c>
      <c r="K10" s="160">
        <v>723.39792865283277</v>
      </c>
      <c r="L10" s="160">
        <v>615.2559467518156</v>
      </c>
      <c r="M10" s="160">
        <v>518.47689347687754</v>
      </c>
      <c r="N10" s="81">
        <v>430.94888104274315</v>
      </c>
      <c r="O10" s="81">
        <v>350.88964125459489</v>
      </c>
      <c r="P10" s="81">
        <v>276.79928305732625</v>
      </c>
      <c r="Q10" s="81">
        <v>207.41948643565803</v>
      </c>
      <c r="R10" s="81">
        <v>141.69828477826599</v>
      </c>
      <c r="S10" s="81">
        <v>78.7596968695496</v>
      </c>
      <c r="T10" s="81">
        <v>17.877564947137387</v>
      </c>
      <c r="U10" s="81">
        <v>-41.546961522113747</v>
      </c>
      <c r="V10" s="81">
        <v>-100.0047840352974</v>
      </c>
      <c r="W10" s="81">
        <v>-157.89547947981919</v>
      </c>
      <c r="X10" s="81">
        <v>-215.54155971303203</v>
      </c>
      <c r="Y10" s="81">
        <v>-273.20068693782707</v>
      </c>
      <c r="Z10" s="81">
        <v>-331.0761234182811</v>
      </c>
      <c r="AA10" s="81">
        <v>-389.32565738202345</v>
      </c>
    </row>
    <row r="11" spans="1:27" x14ac:dyDescent="0.2">
      <c r="A11" s="177" t="s">
        <v>228</v>
      </c>
      <c r="B11" s="196">
        <v>134</v>
      </c>
      <c r="C11" s="272"/>
      <c r="D11" s="56"/>
      <c r="E11" s="147"/>
      <c r="F11" s="40">
        <v>6.6</v>
      </c>
      <c r="G11" s="160">
        <v>1321.0149154501605</v>
      </c>
      <c r="H11" s="160">
        <v>1137.6089972714444</v>
      </c>
      <c r="I11" s="160">
        <v>978.53850948941295</v>
      </c>
      <c r="J11" s="160">
        <v>839.73474681985738</v>
      </c>
      <c r="K11" s="160">
        <v>717.73367744510335</v>
      </c>
      <c r="L11" s="160">
        <v>609.59169554408618</v>
      </c>
      <c r="M11" s="160">
        <v>512.81264226914811</v>
      </c>
      <c r="N11" s="81">
        <v>425.28462983501373</v>
      </c>
      <c r="O11" s="81">
        <v>345.22539004686541</v>
      </c>
      <c r="P11" s="81">
        <v>271.13503184959677</v>
      </c>
      <c r="Q11" s="81">
        <v>201.75523522792861</v>
      </c>
      <c r="R11" s="81">
        <v>136.03403357053651</v>
      </c>
      <c r="S11" s="81">
        <v>73.095445661820122</v>
      </c>
      <c r="T11" s="81">
        <v>12.213313739407909</v>
      </c>
      <c r="U11" s="81">
        <v>-47.211212729843169</v>
      </c>
      <c r="V11" s="81">
        <v>-105.66903524302688</v>
      </c>
      <c r="W11" s="81">
        <v>-163.55973068754872</v>
      </c>
      <c r="X11" s="81">
        <v>-221.20581092076156</v>
      </c>
      <c r="Y11" s="81">
        <v>-278.86493814555661</v>
      </c>
      <c r="Z11" s="81">
        <v>-336.74037462601052</v>
      </c>
      <c r="AA11" s="81">
        <v>-394.98990858975299</v>
      </c>
    </row>
    <row r="12" spans="1:27" x14ac:dyDescent="0.2">
      <c r="A12" s="197" t="s">
        <v>8</v>
      </c>
      <c r="B12" s="169">
        <f>'Electricity bill'!E18</f>
        <v>561.85014965036635</v>
      </c>
      <c r="C12" s="195" t="s">
        <v>97</v>
      </c>
      <c r="D12" s="56"/>
      <c r="E12" s="147"/>
      <c r="F12" s="40">
        <v>6.7</v>
      </c>
      <c r="G12" s="160">
        <v>1315.3506642424309</v>
      </c>
      <c r="H12" s="160">
        <v>1131.9447460637148</v>
      </c>
      <c r="I12" s="160">
        <v>972.8742582816833</v>
      </c>
      <c r="J12" s="160">
        <v>834.07049561212773</v>
      </c>
      <c r="K12" s="160">
        <v>712.06942623737359</v>
      </c>
      <c r="L12" s="160">
        <v>603.92744433635642</v>
      </c>
      <c r="M12" s="160">
        <v>507.14839106141864</v>
      </c>
      <c r="N12" s="81">
        <v>419.62037862728425</v>
      </c>
      <c r="O12" s="81">
        <v>339.56113883913594</v>
      </c>
      <c r="P12" s="81">
        <v>265.47078064186707</v>
      </c>
      <c r="Q12" s="81">
        <v>196.09098402019913</v>
      </c>
      <c r="R12" s="81">
        <v>130.36978236280703</v>
      </c>
      <c r="S12" s="81">
        <v>67.431194454090075</v>
      </c>
      <c r="T12" s="81">
        <v>6.5490625316784303</v>
      </c>
      <c r="U12" s="81">
        <v>-52.875463937573215</v>
      </c>
      <c r="V12" s="81">
        <v>-111.33328645075687</v>
      </c>
      <c r="W12" s="81">
        <v>-169.22398189527871</v>
      </c>
      <c r="X12" s="81">
        <v>-226.87006212849099</v>
      </c>
      <c r="Y12" s="81">
        <v>-284.5291893532866</v>
      </c>
      <c r="Z12" s="81">
        <v>-342.40462583374006</v>
      </c>
      <c r="AA12" s="81">
        <v>-400.65415979748241</v>
      </c>
    </row>
    <row r="13" spans="1:27" x14ac:dyDescent="0.2">
      <c r="A13" s="43" t="s">
        <v>9</v>
      </c>
      <c r="B13" s="194" t="str">
        <f>IF(B19&lt;0,"YES","NO")</f>
        <v>YES</v>
      </c>
      <c r="C13" s="274" t="s">
        <v>231</v>
      </c>
      <c r="D13" s="56"/>
      <c r="E13" s="147"/>
      <c r="F13" s="40">
        <v>6.8</v>
      </c>
      <c r="G13" s="160">
        <v>1309.6864130347014</v>
      </c>
      <c r="H13" s="160">
        <v>1126.2804948559856</v>
      </c>
      <c r="I13" s="160">
        <v>967.21000707395399</v>
      </c>
      <c r="J13" s="160">
        <v>828.40624440439854</v>
      </c>
      <c r="K13" s="160">
        <v>706.4051750296444</v>
      </c>
      <c r="L13" s="160">
        <v>598.26319312862722</v>
      </c>
      <c r="M13" s="160">
        <v>501.48413985368916</v>
      </c>
      <c r="N13" s="81">
        <v>413.95612741955478</v>
      </c>
      <c r="O13" s="81">
        <v>333.89688763140646</v>
      </c>
      <c r="P13" s="81">
        <v>259.80652943413787</v>
      </c>
      <c r="Q13" s="81">
        <v>190.42673281246965</v>
      </c>
      <c r="R13" s="81">
        <v>124.70553115507755</v>
      </c>
      <c r="S13" s="81">
        <v>61.766943246361166</v>
      </c>
      <c r="T13" s="81">
        <v>0.88481132394900897</v>
      </c>
      <c r="U13" s="81">
        <v>-58.539715145302125</v>
      </c>
      <c r="V13" s="81">
        <v>-116.99753765848584</v>
      </c>
      <c r="W13" s="81">
        <v>-174.88823310300762</v>
      </c>
      <c r="X13" s="81">
        <v>-232.53431333622041</v>
      </c>
      <c r="Y13" s="81">
        <v>-290.19344056101556</v>
      </c>
      <c r="Z13" s="81">
        <v>-348.06887704146948</v>
      </c>
      <c r="AA13" s="81">
        <v>-406.31841100521194</v>
      </c>
    </row>
    <row r="14" spans="1:27" x14ac:dyDescent="0.2">
      <c r="A14" s="43" t="s">
        <v>137</v>
      </c>
      <c r="B14" s="190">
        <f>PV!B13</f>
        <v>711.42321990607434</v>
      </c>
      <c r="C14" s="275"/>
      <c r="D14" s="205"/>
      <c r="E14" s="147"/>
      <c r="F14" s="40">
        <v>6.9</v>
      </c>
      <c r="G14" s="160">
        <v>1304.022161826972</v>
      </c>
      <c r="H14" s="160">
        <v>1120.6162436482559</v>
      </c>
      <c r="I14" s="160">
        <v>961.54575586622445</v>
      </c>
      <c r="J14" s="160">
        <v>822.741993196669</v>
      </c>
      <c r="K14" s="160">
        <v>700.74092382191498</v>
      </c>
      <c r="L14" s="160">
        <v>592.59894192089769</v>
      </c>
      <c r="M14" s="160">
        <v>495.81988864595968</v>
      </c>
      <c r="N14" s="81">
        <v>408.2918762118253</v>
      </c>
      <c r="O14" s="81">
        <v>328.23263642367698</v>
      </c>
      <c r="P14" s="81">
        <v>254.14227822640839</v>
      </c>
      <c r="Q14" s="81">
        <v>184.76248160474017</v>
      </c>
      <c r="R14" s="81">
        <v>119.04127994734807</v>
      </c>
      <c r="S14" s="81">
        <v>56.102692038631687</v>
      </c>
      <c r="T14" s="81">
        <v>-4.7794398837804692</v>
      </c>
      <c r="U14" s="81">
        <v>-64.203966353031603</v>
      </c>
      <c r="V14" s="81">
        <v>-122.66178886621526</v>
      </c>
      <c r="W14" s="81">
        <v>-180.5524843107371</v>
      </c>
      <c r="X14" s="81">
        <v>-238.19856454394994</v>
      </c>
      <c r="Y14" s="81">
        <v>-295.85769176874498</v>
      </c>
      <c r="Z14" s="81">
        <v>-353.73312824919901</v>
      </c>
      <c r="AA14" s="81">
        <v>-411.98266221294136</v>
      </c>
    </row>
    <row r="15" spans="1:27" x14ac:dyDescent="0.2">
      <c r="A15" s="43" t="s">
        <v>116</v>
      </c>
      <c r="B15" s="191">
        <f>PV!B4</f>
        <v>3285</v>
      </c>
      <c r="C15" s="275"/>
      <c r="D15" s="57"/>
      <c r="E15" s="147"/>
      <c r="F15" s="161">
        <v>7</v>
      </c>
      <c r="G15" s="254">
        <v>1299.167089363204</v>
      </c>
      <c r="H15" s="255">
        <v>1115.7611711844879</v>
      </c>
      <c r="I15" s="254">
        <v>956.69068340245644</v>
      </c>
      <c r="J15" s="255">
        <v>817.88692073290088</v>
      </c>
      <c r="K15" s="254">
        <v>695.88585135814674</v>
      </c>
      <c r="L15" s="255">
        <v>587.74386945712956</v>
      </c>
      <c r="M15" s="254">
        <v>490.96481618219178</v>
      </c>
      <c r="N15" s="251">
        <v>403.43680374805712</v>
      </c>
      <c r="O15" s="250">
        <v>323.3775639599088</v>
      </c>
      <c r="P15" s="251">
        <v>249.28720576264044</v>
      </c>
      <c r="Q15" s="250">
        <v>179.90740914097199</v>
      </c>
      <c r="R15" s="251">
        <v>114.18620748357989</v>
      </c>
      <c r="S15" s="250">
        <v>51.247619574863506</v>
      </c>
      <c r="T15" s="251">
        <v>-9.6345123475486503</v>
      </c>
      <c r="U15" s="250">
        <v>-69.059038816799784</v>
      </c>
      <c r="V15" s="251">
        <v>-127.5168613299835</v>
      </c>
      <c r="W15" s="250">
        <v>-185.40755677450534</v>
      </c>
      <c r="X15" s="251">
        <v>-243.05363700771761</v>
      </c>
      <c r="Y15" s="250">
        <v>-300.71276423251322</v>
      </c>
      <c r="Z15" s="251">
        <v>-358.58820071296657</v>
      </c>
      <c r="AA15" s="250">
        <v>-416.83773467670903</v>
      </c>
    </row>
    <row r="16" spans="1:27" x14ac:dyDescent="0.2">
      <c r="A16" s="43" t="s">
        <v>182</v>
      </c>
      <c r="B16" s="191">
        <f>'Electricity bill'!D12</f>
        <v>1465.6512304488003</v>
      </c>
      <c r="C16" s="275"/>
      <c r="D16" s="57"/>
      <c r="E16" s="147"/>
      <c r="F16" s="40">
        <v>7.1</v>
      </c>
      <c r="G16" s="160">
        <v>1294.3120168994358</v>
      </c>
      <c r="H16" s="160">
        <v>1110.9060987207199</v>
      </c>
      <c r="I16" s="160">
        <v>951.83561093868821</v>
      </c>
      <c r="J16" s="160">
        <v>813.03184826913264</v>
      </c>
      <c r="K16" s="160">
        <v>691.0307788943785</v>
      </c>
      <c r="L16" s="160">
        <v>582.88879699336132</v>
      </c>
      <c r="M16" s="160">
        <v>486.1097437184236</v>
      </c>
      <c r="N16" s="81">
        <v>398.58173128428894</v>
      </c>
      <c r="O16" s="81">
        <v>318.52249149614062</v>
      </c>
      <c r="P16" s="81">
        <v>244.43213329887226</v>
      </c>
      <c r="Q16" s="81">
        <v>175.05233667720381</v>
      </c>
      <c r="R16" s="81">
        <v>109.33113501981171</v>
      </c>
      <c r="S16" s="81">
        <v>46.392547111095325</v>
      </c>
      <c r="T16" s="81">
        <v>-14.489584811316888</v>
      </c>
      <c r="U16" s="81">
        <v>-73.914111280567965</v>
      </c>
      <c r="V16" s="81">
        <v>-132.37193379375168</v>
      </c>
      <c r="W16" s="81">
        <v>-190.26262923827346</v>
      </c>
      <c r="X16" s="81">
        <v>-247.90870947148574</v>
      </c>
      <c r="Y16" s="81">
        <v>-305.56783669628135</v>
      </c>
      <c r="Z16" s="81">
        <v>-363.44327317673481</v>
      </c>
      <c r="AA16" s="81">
        <v>-421.69280714047716</v>
      </c>
    </row>
    <row r="17" spans="1:27" x14ac:dyDescent="0.2">
      <c r="A17" s="43" t="s">
        <v>117</v>
      </c>
      <c r="B17" s="192">
        <f>'Electricity bill'!D9</f>
        <v>1329.8957956369359</v>
      </c>
      <c r="C17" s="275"/>
      <c r="D17" s="57"/>
      <c r="E17" s="147"/>
      <c r="F17" s="40">
        <v>7.2</v>
      </c>
      <c r="G17" s="160">
        <v>1288.6477656917064</v>
      </c>
      <c r="H17" s="160">
        <v>1105.2418475129903</v>
      </c>
      <c r="I17" s="160">
        <v>946.17135973095878</v>
      </c>
      <c r="J17" s="160">
        <v>807.36759706140322</v>
      </c>
      <c r="K17" s="160">
        <v>685.36652768664908</v>
      </c>
      <c r="L17" s="160">
        <v>577.2245457856319</v>
      </c>
      <c r="M17" s="160">
        <v>480.44549251069412</v>
      </c>
      <c r="N17" s="81">
        <v>392.91748007655946</v>
      </c>
      <c r="O17" s="81">
        <v>312.85824028841114</v>
      </c>
      <c r="P17" s="81">
        <v>238.76788209114278</v>
      </c>
      <c r="Q17" s="81">
        <v>169.38808546947433</v>
      </c>
      <c r="R17" s="81">
        <v>103.66688381208223</v>
      </c>
      <c r="S17" s="81">
        <v>40.728295903365847</v>
      </c>
      <c r="T17" s="81">
        <v>-20.15383601904631</v>
      </c>
      <c r="U17" s="81">
        <v>-79.578362488297444</v>
      </c>
      <c r="V17" s="81">
        <v>-138.0361850014811</v>
      </c>
      <c r="W17" s="81">
        <v>-195.926880446003</v>
      </c>
      <c r="X17" s="81">
        <v>-253.57296067921516</v>
      </c>
      <c r="Y17" s="81">
        <v>-311.23208790401088</v>
      </c>
      <c r="Z17" s="81">
        <v>-369.10752438446423</v>
      </c>
      <c r="AA17" s="81">
        <v>-427.35705834820669</v>
      </c>
    </row>
    <row r="18" spans="1:27" x14ac:dyDescent="0.2">
      <c r="A18" s="43" t="s">
        <v>185</v>
      </c>
      <c r="B18" s="193">
        <f>'Consumption and calibration'!C12</f>
        <v>3149.2445651881353</v>
      </c>
      <c r="C18" s="275"/>
      <c r="D18" s="57"/>
      <c r="E18" s="117"/>
      <c r="F18" s="40">
        <v>7.3</v>
      </c>
      <c r="G18" s="162">
        <v>1282.9835144839767</v>
      </c>
      <c r="H18" s="162">
        <v>1099.5775963052611</v>
      </c>
      <c r="I18" s="162">
        <v>940.50710852322936</v>
      </c>
      <c r="J18" s="162">
        <v>801.70334585367368</v>
      </c>
      <c r="K18" s="162">
        <v>679.70227647891966</v>
      </c>
      <c r="L18" s="162">
        <v>571.56029457790237</v>
      </c>
      <c r="M18" s="162">
        <v>474.78124130296465</v>
      </c>
      <c r="N18" s="81">
        <v>387.25322886882998</v>
      </c>
      <c r="O18" s="81">
        <v>307.19398908068166</v>
      </c>
      <c r="P18" s="81">
        <v>233.10363088341336</v>
      </c>
      <c r="Q18" s="81">
        <v>163.72383426174486</v>
      </c>
      <c r="R18" s="81">
        <v>98.002632604352755</v>
      </c>
      <c r="S18" s="81">
        <v>35.064044695636369</v>
      </c>
      <c r="T18" s="81">
        <v>-25.818087226775788</v>
      </c>
      <c r="U18" s="81">
        <v>-85.242613696026922</v>
      </c>
      <c r="V18" s="81">
        <v>-143.70043620921058</v>
      </c>
      <c r="W18" s="81">
        <v>-201.59113165373242</v>
      </c>
      <c r="X18" s="81">
        <v>-259.23721188694469</v>
      </c>
      <c r="Y18" s="81">
        <v>-316.8963391117403</v>
      </c>
      <c r="Z18" s="81">
        <v>-374.77177559219376</v>
      </c>
      <c r="AA18" s="81">
        <v>-433.02130955593611</v>
      </c>
    </row>
    <row r="19" spans="1:27" x14ac:dyDescent="0.2">
      <c r="A19" s="43" t="s">
        <v>188</v>
      </c>
      <c r="B19" s="193">
        <f>B17-B16</f>
        <v>-135.75543481186446</v>
      </c>
      <c r="C19" s="275"/>
      <c r="D19" s="57"/>
      <c r="F19" s="40">
        <v>7.4</v>
      </c>
      <c r="G19" s="81">
        <v>1278.1284420202087</v>
      </c>
      <c r="H19" s="81">
        <v>1094.7225238414926</v>
      </c>
      <c r="I19" s="81">
        <v>935.65203605946112</v>
      </c>
      <c r="J19" s="81">
        <v>796.84827338990556</v>
      </c>
      <c r="K19" s="81">
        <v>674.84720401515142</v>
      </c>
      <c r="L19" s="81">
        <v>566.70522211413424</v>
      </c>
      <c r="M19" s="81">
        <v>469.92616883919646</v>
      </c>
      <c r="N19" s="81">
        <v>382.3981564050618</v>
      </c>
      <c r="O19" s="81">
        <v>302.33891661691348</v>
      </c>
      <c r="P19" s="81">
        <v>228.24855841964512</v>
      </c>
      <c r="Q19" s="81">
        <v>158.86876179797667</v>
      </c>
      <c r="R19" s="81">
        <v>93.147560140584574</v>
      </c>
      <c r="S19" s="81">
        <v>30.208972231868188</v>
      </c>
      <c r="T19" s="81">
        <v>-30.673159690543969</v>
      </c>
      <c r="U19" s="81">
        <v>-90.097686159795103</v>
      </c>
      <c r="V19" s="81">
        <v>-148.55550867297876</v>
      </c>
      <c r="W19" s="81">
        <v>-206.44620411750066</v>
      </c>
      <c r="X19" s="81">
        <v>-264.09228435071282</v>
      </c>
      <c r="Y19" s="81">
        <v>-321.75141157550854</v>
      </c>
      <c r="Z19" s="81">
        <v>-379.62684805596189</v>
      </c>
      <c r="AA19" s="81">
        <v>-437.87638201970435</v>
      </c>
    </row>
    <row r="20" spans="1:27" x14ac:dyDescent="0.2">
      <c r="A20" s="43" t="s">
        <v>209</v>
      </c>
      <c r="B20" s="193">
        <f>Battery!B11</f>
        <v>0</v>
      </c>
      <c r="C20" s="275"/>
      <c r="D20" s="57"/>
      <c r="F20" s="161">
        <v>7.4999999999999902</v>
      </c>
      <c r="G20" s="249">
        <v>1278.1284420202087</v>
      </c>
      <c r="H20" s="249">
        <v>1094.7225238414926</v>
      </c>
      <c r="I20" s="249">
        <v>935.65203605946112</v>
      </c>
      <c r="J20" s="249">
        <v>796.84827338990556</v>
      </c>
      <c r="K20" s="249">
        <v>674.84720401515142</v>
      </c>
      <c r="L20" s="249">
        <v>566.70522211413424</v>
      </c>
      <c r="M20" s="249">
        <v>469.92616883919646</v>
      </c>
      <c r="N20" s="249">
        <v>382.3981564050618</v>
      </c>
      <c r="O20" s="249">
        <v>302.33891661691348</v>
      </c>
      <c r="P20" s="249">
        <v>228.24855841964512</v>
      </c>
      <c r="Q20" s="249">
        <v>158.86876179797667</v>
      </c>
      <c r="R20" s="249">
        <v>93.147560140584574</v>
      </c>
      <c r="S20" s="249">
        <v>30.208972231868188</v>
      </c>
      <c r="T20" s="249">
        <v>-30.673159690543969</v>
      </c>
      <c r="U20" s="249">
        <v>-90.097686159795103</v>
      </c>
      <c r="V20" s="249">
        <v>-148.55550867297876</v>
      </c>
      <c r="W20" s="249">
        <v>-206.44620411750066</v>
      </c>
      <c r="X20" s="249">
        <v>-264.09228435071282</v>
      </c>
      <c r="Y20" s="249">
        <v>-321.75141157550854</v>
      </c>
      <c r="Z20" s="249">
        <v>-379.62684805596189</v>
      </c>
      <c r="AA20" s="249">
        <v>-437.87638201970435</v>
      </c>
    </row>
    <row r="21" spans="1:27" x14ac:dyDescent="0.2">
      <c r="A21" s="198" t="s">
        <v>184</v>
      </c>
      <c r="B21" s="193">
        <f>Battery!B15</f>
        <v>0</v>
      </c>
      <c r="C21" s="275"/>
      <c r="D21" s="57"/>
      <c r="F21" s="40">
        <v>7.5999999999999899</v>
      </c>
      <c r="G21" s="81">
        <v>1273.2733695564407</v>
      </c>
      <c r="H21" s="81">
        <v>1089.8674513777246</v>
      </c>
      <c r="I21" s="81">
        <v>930.79696359569311</v>
      </c>
      <c r="J21" s="81">
        <v>791.99320092613755</v>
      </c>
      <c r="K21" s="81">
        <v>669.99213155138352</v>
      </c>
      <c r="L21" s="81">
        <v>561.85014965036635</v>
      </c>
      <c r="M21" s="81">
        <v>465.07109637542828</v>
      </c>
      <c r="N21" s="81">
        <v>377.5430839412939</v>
      </c>
      <c r="O21" s="81">
        <v>297.48384415314558</v>
      </c>
      <c r="P21" s="81">
        <v>223.39348595587694</v>
      </c>
      <c r="Q21" s="81">
        <v>154.01368933420878</v>
      </c>
      <c r="R21" s="81">
        <v>88.292487676816393</v>
      </c>
      <c r="S21" s="81">
        <v>25.353899768100007</v>
      </c>
      <c r="T21" s="81">
        <v>-35.528232154312207</v>
      </c>
      <c r="U21" s="81">
        <v>-94.952758623563284</v>
      </c>
      <c r="V21" s="81">
        <v>-153.410581136747</v>
      </c>
      <c r="W21" s="81">
        <v>-211.30127658126878</v>
      </c>
      <c r="X21" s="81">
        <v>-268.94735681448105</v>
      </c>
      <c r="Y21" s="81">
        <v>-326.60648403927667</v>
      </c>
      <c r="Z21" s="81">
        <v>-384.48192051973012</v>
      </c>
      <c r="AA21" s="81">
        <v>-442.73145448347248</v>
      </c>
    </row>
    <row r="22" spans="1:27" x14ac:dyDescent="0.2">
      <c r="A22" s="43" t="s">
        <v>230</v>
      </c>
      <c r="B22" s="194" t="str">
        <f>Battery!B12</f>
        <v>NA</v>
      </c>
      <c r="C22" s="275"/>
      <c r="F22" s="40">
        <v>7.6999999999999904</v>
      </c>
      <c r="G22" s="81">
        <v>1267.609118348711</v>
      </c>
      <c r="H22" s="81">
        <v>1084.2032001699952</v>
      </c>
      <c r="I22" s="81">
        <v>925.13271238796358</v>
      </c>
      <c r="J22" s="81">
        <v>786.32894971840813</v>
      </c>
      <c r="K22" s="81">
        <v>664.32788034365399</v>
      </c>
      <c r="L22" s="81">
        <v>556.18589844263681</v>
      </c>
      <c r="M22" s="81">
        <v>459.4068451676988</v>
      </c>
      <c r="N22" s="81">
        <v>371.87883273356442</v>
      </c>
      <c r="O22" s="81">
        <v>291.8195929454161</v>
      </c>
      <c r="P22" s="81">
        <v>217.72923474814746</v>
      </c>
      <c r="Q22" s="81">
        <v>148.3494381264793</v>
      </c>
      <c r="R22" s="81">
        <v>82.628236469086914</v>
      </c>
      <c r="S22" s="81">
        <v>19.689648560370529</v>
      </c>
      <c r="T22" s="81">
        <v>-41.192483362041628</v>
      </c>
      <c r="U22" s="81">
        <v>-100.61700983129276</v>
      </c>
      <c r="V22" s="81">
        <v>-159.07483234447642</v>
      </c>
      <c r="W22" s="81">
        <v>-216.96552778899832</v>
      </c>
      <c r="X22" s="81">
        <v>-274.61160802221048</v>
      </c>
      <c r="Y22" s="81">
        <v>-332.2707352470062</v>
      </c>
      <c r="Z22" s="81">
        <v>-390.14617172745955</v>
      </c>
      <c r="AA22" s="81">
        <v>-448.39570569120201</v>
      </c>
    </row>
    <row r="23" spans="1:27" x14ac:dyDescent="0.2">
      <c r="A23" s="216" t="s">
        <v>29</v>
      </c>
      <c r="B23" s="228">
        <f>B16/B15</f>
        <v>0.44616475812748868</v>
      </c>
      <c r="C23" s="275"/>
      <c r="F23" s="40">
        <v>7.7999999999999901</v>
      </c>
      <c r="G23" s="81">
        <v>1261.9448671409816</v>
      </c>
      <c r="H23" s="81">
        <v>1078.5389489622657</v>
      </c>
      <c r="I23" s="81">
        <v>919.46846118023416</v>
      </c>
      <c r="J23" s="81">
        <v>780.6646985106787</v>
      </c>
      <c r="K23" s="81">
        <v>658.66362913592457</v>
      </c>
      <c r="L23" s="81">
        <v>550.52164723490739</v>
      </c>
      <c r="M23" s="81">
        <v>453.74259395996933</v>
      </c>
      <c r="N23" s="81">
        <v>366.21458152583494</v>
      </c>
      <c r="O23" s="81">
        <v>286.15534173768663</v>
      </c>
      <c r="P23" s="81">
        <v>212.06498354041804</v>
      </c>
      <c r="Q23" s="81">
        <v>142.68518691874982</v>
      </c>
      <c r="R23" s="81">
        <v>76.963985261357436</v>
      </c>
      <c r="S23" s="81">
        <v>14.02539735264105</v>
      </c>
      <c r="T23" s="81">
        <v>-46.856734569771106</v>
      </c>
      <c r="U23" s="81">
        <v>-106.28126103902224</v>
      </c>
      <c r="V23" s="81">
        <v>-164.7390835522059</v>
      </c>
      <c r="W23" s="81">
        <v>-222.62977899672774</v>
      </c>
      <c r="X23" s="81">
        <v>-280.27585922994001</v>
      </c>
      <c r="Y23" s="81">
        <v>-337.93498645473562</v>
      </c>
      <c r="Z23" s="81">
        <v>-395.81042293518908</v>
      </c>
      <c r="AA23" s="81">
        <v>-454.05995689893143</v>
      </c>
    </row>
    <row r="24" spans="1:27" x14ac:dyDescent="0.2">
      <c r="A24" s="217" t="s">
        <v>258</v>
      </c>
      <c r="B24" s="227">
        <f>Battery!B7</f>
        <v>1</v>
      </c>
      <c r="C24" s="276"/>
      <c r="F24" s="40">
        <v>7.8999999999999897</v>
      </c>
      <c r="G24" s="81">
        <v>1256.2806159332522</v>
      </c>
      <c r="H24" s="81">
        <v>1072.8746977545361</v>
      </c>
      <c r="I24" s="81">
        <v>913.80420997250462</v>
      </c>
      <c r="J24" s="81">
        <v>775.00044730294917</v>
      </c>
      <c r="K24" s="81">
        <v>652.99937792819492</v>
      </c>
      <c r="L24" s="81">
        <v>544.85739602717786</v>
      </c>
      <c r="M24" s="81">
        <v>448.07834275223985</v>
      </c>
      <c r="N24" s="81">
        <v>360.55033031810547</v>
      </c>
      <c r="O24" s="81">
        <v>280.49109052995715</v>
      </c>
      <c r="P24" s="81">
        <v>206.40073233268856</v>
      </c>
      <c r="Q24" s="81">
        <v>137.02093571102034</v>
      </c>
      <c r="R24" s="81">
        <v>71.299734053628015</v>
      </c>
      <c r="S24" s="81">
        <v>8.3611461449116291</v>
      </c>
      <c r="T24" s="81">
        <v>-52.520985777500584</v>
      </c>
      <c r="U24" s="81">
        <v>-111.94551224675166</v>
      </c>
      <c r="V24" s="81">
        <v>-170.40333475993538</v>
      </c>
      <c r="W24" s="81">
        <v>-228.29403020445716</v>
      </c>
      <c r="X24" s="81">
        <v>-285.94011043766955</v>
      </c>
      <c r="Y24" s="81">
        <v>-343.59923766246516</v>
      </c>
      <c r="Z24" s="81">
        <v>-401.4746741429185</v>
      </c>
      <c r="AA24" s="81">
        <v>-459.72420810666097</v>
      </c>
    </row>
    <row r="25" spans="1:27" x14ac:dyDescent="0.2">
      <c r="A25" s="229"/>
      <c r="B25" s="230"/>
      <c r="C25" s="231"/>
      <c r="F25" s="161">
        <v>7.9999999999999902</v>
      </c>
      <c r="G25" s="250">
        <v>1250.6163647255225</v>
      </c>
      <c r="H25" s="251">
        <v>1067.2104465468069</v>
      </c>
      <c r="I25" s="250">
        <v>908.1399587647752</v>
      </c>
      <c r="J25" s="251">
        <v>769.33619609521975</v>
      </c>
      <c r="K25" s="250">
        <v>647.3351267204655</v>
      </c>
      <c r="L25" s="251">
        <v>539.19314481944843</v>
      </c>
      <c r="M25" s="250">
        <v>442.41409154451037</v>
      </c>
      <c r="N25" s="251">
        <v>354.88607911037599</v>
      </c>
      <c r="O25" s="250">
        <v>274.82683932222773</v>
      </c>
      <c r="P25" s="251">
        <v>200.73648112495908</v>
      </c>
      <c r="Q25" s="250">
        <v>131.35668450329086</v>
      </c>
      <c r="R25" s="251">
        <v>65.635482845898537</v>
      </c>
      <c r="S25" s="250">
        <v>2.6968949371821509</v>
      </c>
      <c r="T25" s="251">
        <v>-58.185236985230063</v>
      </c>
      <c r="U25" s="250">
        <v>-117.60976345448114</v>
      </c>
      <c r="V25" s="251">
        <v>-176.06758596766485</v>
      </c>
      <c r="W25" s="250">
        <v>-233.95828141218658</v>
      </c>
      <c r="X25" s="251">
        <v>-291.60436164539897</v>
      </c>
      <c r="Y25" s="250">
        <v>-349.26348887019458</v>
      </c>
      <c r="Z25" s="251">
        <v>-407.13892535064804</v>
      </c>
      <c r="AA25" s="250">
        <v>-465.38845931439039</v>
      </c>
    </row>
    <row r="26" spans="1:27" x14ac:dyDescent="0.2">
      <c r="A26" s="216"/>
      <c r="B26" s="201"/>
      <c r="C26" s="126"/>
      <c r="F26" s="40">
        <v>8.0999999999999908</v>
      </c>
      <c r="G26" s="81">
        <v>1245.7612922617545</v>
      </c>
      <c r="H26" s="81">
        <v>1062.3553740830389</v>
      </c>
      <c r="I26" s="81">
        <v>903.28488630100719</v>
      </c>
      <c r="J26" s="81">
        <v>764.48112363145151</v>
      </c>
      <c r="K26" s="81">
        <v>642.48005425669749</v>
      </c>
      <c r="L26" s="81">
        <v>534.3380723556802</v>
      </c>
      <c r="M26" s="81">
        <v>437.55901908074247</v>
      </c>
      <c r="N26" s="81">
        <v>350.03100664660809</v>
      </c>
      <c r="O26" s="81">
        <v>269.97176685845977</v>
      </c>
      <c r="P26" s="81">
        <v>195.8814086611909</v>
      </c>
      <c r="Q26" s="81">
        <v>126.50161203952297</v>
      </c>
      <c r="R26" s="81">
        <v>60.780410382130867</v>
      </c>
      <c r="S26" s="81">
        <v>-2.1581775265860301</v>
      </c>
      <c r="T26" s="81">
        <v>-63.040309448997675</v>
      </c>
      <c r="U26" s="81">
        <v>-122.46483591824932</v>
      </c>
      <c r="V26" s="81">
        <v>-180.92265843143304</v>
      </c>
      <c r="W26" s="81">
        <v>-238.81335387595482</v>
      </c>
      <c r="X26" s="81">
        <v>-296.4594341091672</v>
      </c>
      <c r="Y26" s="81">
        <v>-354.11856133396282</v>
      </c>
      <c r="Z26" s="81">
        <v>-411.99399781441616</v>
      </c>
      <c r="AA26" s="81">
        <v>-470.24353177815863</v>
      </c>
    </row>
    <row r="27" spans="1:27" x14ac:dyDescent="0.2">
      <c r="A27" s="216"/>
      <c r="B27" s="201"/>
      <c r="C27" s="126"/>
      <c r="F27" s="40">
        <v>8.1999999999999904</v>
      </c>
      <c r="G27" s="81">
        <v>1240.9062197979865</v>
      </c>
      <c r="H27" s="81">
        <v>1057.5003016192704</v>
      </c>
      <c r="I27" s="81">
        <v>898.42981383723895</v>
      </c>
      <c r="J27" s="81">
        <v>759.62605116768327</v>
      </c>
      <c r="K27" s="81">
        <v>637.62498179292925</v>
      </c>
      <c r="L27" s="81">
        <v>529.48299989191207</v>
      </c>
      <c r="M27" s="81">
        <v>432.70394661697429</v>
      </c>
      <c r="N27" s="81">
        <v>345.17593418283991</v>
      </c>
      <c r="O27" s="81">
        <v>265.11669439469159</v>
      </c>
      <c r="P27" s="81">
        <v>191.02633619742272</v>
      </c>
      <c r="Q27" s="81">
        <v>121.64653957575479</v>
      </c>
      <c r="R27" s="81">
        <v>55.925337918362686</v>
      </c>
      <c r="S27" s="81">
        <v>-7.013249990354268</v>
      </c>
      <c r="T27" s="81">
        <v>-67.895381912765913</v>
      </c>
      <c r="U27" s="81">
        <v>-127.31990838201756</v>
      </c>
      <c r="V27" s="81">
        <v>-185.77773089520122</v>
      </c>
      <c r="W27" s="81">
        <v>-243.66842633972306</v>
      </c>
      <c r="X27" s="81">
        <v>-301.31450657293533</v>
      </c>
      <c r="Y27" s="81">
        <v>-358.97363379773094</v>
      </c>
      <c r="Z27" s="81">
        <v>-416.8490702781844</v>
      </c>
      <c r="AA27" s="81">
        <v>-475.09860424192675</v>
      </c>
    </row>
    <row r="28" spans="1:27" x14ac:dyDescent="0.2">
      <c r="A28" s="232"/>
      <c r="B28" s="232"/>
      <c r="C28" s="232"/>
      <c r="F28" s="40">
        <v>8.2999999999999901</v>
      </c>
      <c r="G28" s="181">
        <v>1235.2419685902569</v>
      </c>
      <c r="H28" s="81">
        <v>1051.8360504115412</v>
      </c>
      <c r="I28" s="81">
        <v>892.76556262950953</v>
      </c>
      <c r="J28" s="81">
        <v>753.96179995995385</v>
      </c>
      <c r="K28" s="81">
        <v>631.96073058519983</v>
      </c>
      <c r="L28" s="81">
        <v>523.81874868418254</v>
      </c>
      <c r="M28" s="81">
        <v>427.03969540924481</v>
      </c>
      <c r="N28" s="81">
        <v>339.51168297511043</v>
      </c>
      <c r="O28" s="81">
        <v>259.45244318696211</v>
      </c>
      <c r="P28" s="81">
        <v>185.36208498969324</v>
      </c>
      <c r="Q28" s="81">
        <v>115.98228836802531</v>
      </c>
      <c r="R28" s="81">
        <v>50.261086710633208</v>
      </c>
      <c r="S28" s="81">
        <v>-12.677501198083689</v>
      </c>
      <c r="T28" s="81">
        <v>-73.559633120495334</v>
      </c>
      <c r="U28" s="81">
        <v>-132.98415958974698</v>
      </c>
      <c r="V28" s="81">
        <v>-191.44198210293075</v>
      </c>
      <c r="W28" s="81">
        <v>-249.33267754745248</v>
      </c>
      <c r="X28" s="81">
        <v>-306.97875778066486</v>
      </c>
      <c r="Y28" s="81">
        <v>-364.63788500546048</v>
      </c>
      <c r="Z28" s="81">
        <v>-422.51332148591382</v>
      </c>
      <c r="AA28" s="81">
        <v>-480.76285544965629</v>
      </c>
    </row>
    <row r="29" spans="1:27" x14ac:dyDescent="0.2">
      <c r="A29" s="232"/>
      <c r="B29" s="232"/>
      <c r="C29" s="232"/>
      <c r="F29" s="40">
        <v>8.3999999999999897</v>
      </c>
      <c r="G29" s="81">
        <v>1229.5777173825277</v>
      </c>
      <c r="H29" s="81">
        <v>1046.1717992038116</v>
      </c>
      <c r="I29" s="81">
        <v>887.10131142178</v>
      </c>
      <c r="J29" s="81">
        <v>748.29754875222443</v>
      </c>
      <c r="K29" s="81">
        <v>626.2964793774704</v>
      </c>
      <c r="L29" s="81">
        <v>518.15449747645312</v>
      </c>
      <c r="M29" s="81">
        <v>421.37544420151534</v>
      </c>
      <c r="N29" s="81">
        <v>333.84743176738095</v>
      </c>
      <c r="O29" s="81">
        <v>253.78819197923264</v>
      </c>
      <c r="P29" s="81">
        <v>179.69783378196377</v>
      </c>
      <c r="Q29" s="81">
        <v>110.31803716029583</v>
      </c>
      <c r="R29" s="81">
        <v>44.59683550290373</v>
      </c>
      <c r="S29" s="81">
        <v>-18.341752405813168</v>
      </c>
      <c r="T29" s="81">
        <v>-79.223884328224813</v>
      </c>
      <c r="U29" s="81">
        <v>-138.64841079747646</v>
      </c>
      <c r="V29" s="81">
        <v>-197.10623331066017</v>
      </c>
      <c r="W29" s="81">
        <v>-254.9969287551819</v>
      </c>
      <c r="X29" s="81">
        <v>-312.64300898839429</v>
      </c>
      <c r="Y29" s="81">
        <v>-370.3021362131899</v>
      </c>
      <c r="Z29" s="81">
        <v>-428.17757269364324</v>
      </c>
      <c r="AA29" s="81">
        <v>-486.42710665738571</v>
      </c>
    </row>
    <row r="30" spans="1:27" x14ac:dyDescent="0.2">
      <c r="A30" s="232"/>
      <c r="B30" s="232"/>
      <c r="C30" s="232"/>
      <c r="F30" s="40">
        <v>8.4999999999999893</v>
      </c>
      <c r="G30" s="81">
        <v>1224.7226449187592</v>
      </c>
      <c r="H30" s="81">
        <v>1041.3167267400436</v>
      </c>
      <c r="I30" s="81">
        <v>882.24623895801187</v>
      </c>
      <c r="J30" s="81">
        <v>743.44247628845619</v>
      </c>
      <c r="K30" s="81">
        <v>621.44140691370217</v>
      </c>
      <c r="L30" s="81">
        <v>513.29942501268488</v>
      </c>
      <c r="M30" s="81">
        <v>416.52037173774715</v>
      </c>
      <c r="N30" s="81">
        <v>328.99235930361277</v>
      </c>
      <c r="O30" s="81">
        <v>248.93311951546445</v>
      </c>
      <c r="P30" s="81">
        <v>174.84276131819558</v>
      </c>
      <c r="Q30" s="81">
        <v>105.46296469652765</v>
      </c>
      <c r="R30" s="81">
        <v>39.741763039135549</v>
      </c>
      <c r="S30" s="81">
        <v>-23.196824869581349</v>
      </c>
      <c r="T30" s="81">
        <v>-84.078956791992994</v>
      </c>
      <c r="U30" s="81">
        <v>-143.50348326124464</v>
      </c>
      <c r="V30" s="81">
        <v>-201.96130577442841</v>
      </c>
      <c r="W30" s="81">
        <v>-259.85200121895014</v>
      </c>
      <c r="X30" s="81">
        <v>-317.49808145216252</v>
      </c>
      <c r="Y30" s="81">
        <v>-375.15720867695813</v>
      </c>
      <c r="Z30" s="81">
        <v>-433.03264515741148</v>
      </c>
      <c r="AA30" s="81">
        <v>-491.28217912115394</v>
      </c>
    </row>
    <row r="31" spans="1:27" x14ac:dyDescent="0.2">
      <c r="A31" s="232"/>
      <c r="B31" s="232"/>
      <c r="C31" s="232"/>
      <c r="F31" s="40">
        <v>8.5999999999999908</v>
      </c>
      <c r="G31" s="81">
        <v>1219.8675724549912</v>
      </c>
      <c r="H31" s="81">
        <v>1036.4616542762753</v>
      </c>
      <c r="I31" s="81">
        <v>877.39116649424375</v>
      </c>
      <c r="J31" s="81">
        <v>738.58740382468829</v>
      </c>
      <c r="K31" s="81">
        <v>616.58633444993416</v>
      </c>
      <c r="L31" s="81">
        <v>508.44435254891698</v>
      </c>
      <c r="M31" s="81">
        <v>411.66529927397897</v>
      </c>
      <c r="N31" s="81">
        <v>324.13728683984459</v>
      </c>
      <c r="O31" s="81">
        <v>244.07804705169627</v>
      </c>
      <c r="P31" s="81">
        <v>169.98768885442763</v>
      </c>
      <c r="Q31" s="81">
        <v>100.60789223275947</v>
      </c>
      <c r="R31" s="81">
        <v>34.886690575367368</v>
      </c>
      <c r="S31" s="81">
        <v>-28.051897333349586</v>
      </c>
      <c r="T31" s="81">
        <v>-88.934029255761232</v>
      </c>
      <c r="U31" s="81">
        <v>-148.35855572501288</v>
      </c>
      <c r="V31" s="81">
        <v>-206.81637823819653</v>
      </c>
      <c r="W31" s="81">
        <v>-264.70707368271837</v>
      </c>
      <c r="X31" s="81">
        <v>-322.35315391593008</v>
      </c>
      <c r="Y31" s="81">
        <v>-380.01228114072626</v>
      </c>
      <c r="Z31" s="81">
        <v>-437.88771762117915</v>
      </c>
      <c r="AA31" s="81">
        <v>-496.1372515849215</v>
      </c>
    </row>
    <row r="32" spans="1:27" x14ac:dyDescent="0.2">
      <c r="A32" s="232"/>
      <c r="B32" s="232"/>
      <c r="C32" s="232"/>
      <c r="F32" s="40">
        <v>8.6999999999999904</v>
      </c>
      <c r="G32" s="81">
        <v>1215.0124999912232</v>
      </c>
      <c r="H32" s="81">
        <v>1031.6065818125073</v>
      </c>
      <c r="I32" s="81">
        <v>872.53609403047574</v>
      </c>
      <c r="J32" s="81">
        <v>733.73233136092006</v>
      </c>
      <c r="K32" s="81">
        <v>611.73126198616603</v>
      </c>
      <c r="L32" s="81">
        <v>503.58928008514886</v>
      </c>
      <c r="M32" s="81">
        <v>406.81022681021102</v>
      </c>
      <c r="N32" s="81">
        <v>319.28221437607641</v>
      </c>
      <c r="O32" s="81">
        <v>239.22297458792809</v>
      </c>
      <c r="P32" s="81">
        <v>165.13261639065973</v>
      </c>
      <c r="Q32" s="81">
        <v>95.752819768991287</v>
      </c>
      <c r="R32" s="81">
        <v>30.031618111599187</v>
      </c>
      <c r="S32" s="81">
        <v>-32.906969797117199</v>
      </c>
      <c r="T32" s="81">
        <v>-93.789101719529413</v>
      </c>
      <c r="U32" s="81">
        <v>-153.21362818878049</v>
      </c>
      <c r="V32" s="81">
        <v>-211.6714507019642</v>
      </c>
      <c r="W32" s="81">
        <v>-269.56214614648593</v>
      </c>
      <c r="X32" s="81">
        <v>-327.20822637969832</v>
      </c>
      <c r="Y32" s="81">
        <v>-384.86735360449393</v>
      </c>
      <c r="Z32" s="81">
        <v>-442.74279008494727</v>
      </c>
      <c r="AA32" s="81">
        <v>-500.99232404868974</v>
      </c>
    </row>
    <row r="33" spans="1:27" x14ac:dyDescent="0.2">
      <c r="A33" s="232"/>
      <c r="B33" s="232"/>
      <c r="C33" s="232"/>
      <c r="F33" s="40">
        <v>8.7999999999999901</v>
      </c>
      <c r="G33" s="81">
        <v>1210.1574275274552</v>
      </c>
      <c r="H33" s="81">
        <v>1026.7515093487391</v>
      </c>
      <c r="I33" s="81">
        <v>867.6810215667075</v>
      </c>
      <c r="J33" s="81">
        <v>728.87725889715193</v>
      </c>
      <c r="K33" s="81">
        <v>606.87618952239791</v>
      </c>
      <c r="L33" s="81">
        <v>498.73420762138062</v>
      </c>
      <c r="M33" s="81">
        <v>401.95515434644284</v>
      </c>
      <c r="N33" s="81">
        <v>314.42714191230817</v>
      </c>
      <c r="O33" s="81">
        <v>234.36790212415991</v>
      </c>
      <c r="P33" s="81">
        <v>160.27754392689155</v>
      </c>
      <c r="Q33" s="81">
        <v>90.897747305223049</v>
      </c>
      <c r="R33" s="81">
        <v>25.176545647831006</v>
      </c>
      <c r="S33" s="81">
        <v>-37.76204226088538</v>
      </c>
      <c r="T33" s="81">
        <v>-98.644174183297594</v>
      </c>
      <c r="U33" s="81">
        <v>-158.06870065254867</v>
      </c>
      <c r="V33" s="81">
        <v>-216.52652316573244</v>
      </c>
      <c r="W33" s="81">
        <v>-274.41721861025417</v>
      </c>
      <c r="X33" s="81">
        <v>-332.06329884346655</v>
      </c>
      <c r="Y33" s="81">
        <v>-389.72242606826217</v>
      </c>
      <c r="Z33" s="81">
        <v>-447.59786254871551</v>
      </c>
      <c r="AA33" s="81">
        <v>-505.84739651245786</v>
      </c>
    </row>
    <row r="34" spans="1:27" x14ac:dyDescent="0.2">
      <c r="A34" s="232"/>
      <c r="B34" s="232"/>
      <c r="C34" s="232"/>
      <c r="F34" s="40">
        <v>8.8999999999999897</v>
      </c>
      <c r="G34" s="81">
        <v>1205.3023550636869</v>
      </c>
      <c r="H34" s="81">
        <v>1021.8964368849711</v>
      </c>
      <c r="I34" s="81">
        <v>862.82594910293949</v>
      </c>
      <c r="J34" s="81">
        <v>724.02218643338392</v>
      </c>
      <c r="K34" s="81">
        <v>602.02111705862978</v>
      </c>
      <c r="L34" s="81">
        <v>493.87913515761272</v>
      </c>
      <c r="M34" s="81">
        <v>397.10008188267466</v>
      </c>
      <c r="N34" s="81">
        <v>309.57206944854028</v>
      </c>
      <c r="O34" s="81">
        <v>229.51282966039196</v>
      </c>
      <c r="P34" s="81">
        <v>155.42247146312337</v>
      </c>
      <c r="Q34" s="81">
        <v>86.042674841455153</v>
      </c>
      <c r="R34" s="81">
        <v>20.321473184063052</v>
      </c>
      <c r="S34" s="81">
        <v>-42.617114724653618</v>
      </c>
      <c r="T34" s="81">
        <v>-103.49924664706577</v>
      </c>
      <c r="U34" s="81">
        <v>-162.92377311631691</v>
      </c>
      <c r="V34" s="81">
        <v>-221.38159562950057</v>
      </c>
      <c r="W34" s="81">
        <v>-279.27229107402241</v>
      </c>
      <c r="X34" s="81">
        <v>-336.91837130723468</v>
      </c>
      <c r="Y34" s="81">
        <v>-394.57749853203029</v>
      </c>
      <c r="Z34" s="81">
        <v>-452.45293501248375</v>
      </c>
      <c r="AA34" s="81">
        <v>-510.7024689762261</v>
      </c>
    </row>
    <row r="35" spans="1:27" x14ac:dyDescent="0.2">
      <c r="A35" s="232"/>
      <c r="B35" s="232"/>
      <c r="C35" s="232"/>
      <c r="F35" s="161">
        <v>8.9999999999999893</v>
      </c>
      <c r="G35" s="250">
        <v>1200.4472825999189</v>
      </c>
      <c r="H35" s="251">
        <v>1017.041364421203</v>
      </c>
      <c r="I35" s="250">
        <v>857.97087663917137</v>
      </c>
      <c r="J35" s="251">
        <v>719.1671139696158</v>
      </c>
      <c r="K35" s="250">
        <v>597.16604459486166</v>
      </c>
      <c r="L35" s="251">
        <v>489.02406269384448</v>
      </c>
      <c r="M35" s="250">
        <v>392.24500941890676</v>
      </c>
      <c r="N35" s="251">
        <v>304.71699698477238</v>
      </c>
      <c r="O35" s="250">
        <v>224.65775719662406</v>
      </c>
      <c r="P35" s="251">
        <v>150.56739899935513</v>
      </c>
      <c r="Q35" s="250">
        <v>81.187602377687256</v>
      </c>
      <c r="R35" s="251">
        <v>15.466400720295155</v>
      </c>
      <c r="S35" s="250">
        <v>-47.472187188421799</v>
      </c>
      <c r="T35" s="251">
        <v>-108.35431911083344</v>
      </c>
      <c r="U35" s="250">
        <v>-167.77884558008509</v>
      </c>
      <c r="V35" s="251">
        <v>-226.23666809326869</v>
      </c>
      <c r="W35" s="250">
        <v>-284.12736353779064</v>
      </c>
      <c r="X35" s="251">
        <v>-341.7734437710028</v>
      </c>
      <c r="Y35" s="250">
        <v>-399.43257099579841</v>
      </c>
      <c r="Z35" s="251">
        <v>-457.30800747625199</v>
      </c>
      <c r="AA35" s="250">
        <v>-515.55754143999434</v>
      </c>
    </row>
    <row r="36" spans="1:27" x14ac:dyDescent="0.2">
      <c r="A36" s="232"/>
      <c r="B36" s="232"/>
      <c r="C36" s="232"/>
      <c r="F36" s="40">
        <v>9.0999999999999908</v>
      </c>
      <c r="G36" s="81">
        <v>1195.5922101361507</v>
      </c>
      <c r="H36" s="81">
        <v>1012.1862919574348</v>
      </c>
      <c r="I36" s="81">
        <v>853.11580417540324</v>
      </c>
      <c r="J36" s="81">
        <v>714.31204150584756</v>
      </c>
      <c r="K36" s="81">
        <v>592.31097213109354</v>
      </c>
      <c r="L36" s="81">
        <v>484.16899023007636</v>
      </c>
      <c r="M36" s="81">
        <v>387.38993695513852</v>
      </c>
      <c r="N36" s="81">
        <v>299.86192452100414</v>
      </c>
      <c r="O36" s="81">
        <v>219.80268473285585</v>
      </c>
      <c r="P36" s="81">
        <v>145.71232653558695</v>
      </c>
      <c r="Q36" s="81">
        <v>76.332529913919018</v>
      </c>
      <c r="R36" s="81">
        <v>10.611328256526974</v>
      </c>
      <c r="S36" s="81">
        <v>-52.32725965218998</v>
      </c>
      <c r="T36" s="81">
        <v>-113.20939157460163</v>
      </c>
      <c r="U36" s="81">
        <v>-172.63391804385327</v>
      </c>
      <c r="V36" s="81">
        <v>-231.09174055703693</v>
      </c>
      <c r="W36" s="81">
        <v>-288.98243600155877</v>
      </c>
      <c r="X36" s="81">
        <v>-346.62851623477104</v>
      </c>
      <c r="Y36" s="81">
        <v>-404.28764345956665</v>
      </c>
      <c r="Z36" s="81">
        <v>-462.16307994002011</v>
      </c>
      <c r="AA36" s="81">
        <v>-520.41261390376258</v>
      </c>
    </row>
    <row r="37" spans="1:27" x14ac:dyDescent="0.2">
      <c r="A37" s="232"/>
      <c r="B37" s="232"/>
      <c r="C37" s="232"/>
      <c r="F37" s="40">
        <v>9.1999999999999904</v>
      </c>
      <c r="G37" s="81">
        <v>1190.7371376723827</v>
      </c>
      <c r="H37" s="81">
        <v>1007.3312194936666</v>
      </c>
      <c r="I37" s="81">
        <v>848.260731711635</v>
      </c>
      <c r="J37" s="81">
        <v>709.45696904207944</v>
      </c>
      <c r="K37" s="81">
        <v>587.45589966732541</v>
      </c>
      <c r="L37" s="81">
        <v>479.31391776630812</v>
      </c>
      <c r="M37" s="81">
        <v>382.53486449137034</v>
      </c>
      <c r="N37" s="81">
        <v>295.00685205723596</v>
      </c>
      <c r="O37" s="81">
        <v>214.94761226908767</v>
      </c>
      <c r="P37" s="81">
        <v>140.85725407181877</v>
      </c>
      <c r="Q37" s="81">
        <v>71.477457450150837</v>
      </c>
      <c r="R37" s="81">
        <v>5.7562557927587363</v>
      </c>
      <c r="S37" s="81">
        <v>-57.182332115958161</v>
      </c>
      <c r="T37" s="81">
        <v>-118.06446403836981</v>
      </c>
      <c r="U37" s="81">
        <v>-177.48899050762145</v>
      </c>
      <c r="V37" s="81">
        <v>-235.94681302080517</v>
      </c>
      <c r="W37" s="81">
        <v>-293.83750846532689</v>
      </c>
      <c r="X37" s="81">
        <v>-351.48358869853928</v>
      </c>
      <c r="Y37" s="81">
        <v>-409.14271592333489</v>
      </c>
      <c r="Z37" s="81">
        <v>-467.01815240378824</v>
      </c>
      <c r="AA37" s="81">
        <v>-525.2676863675307</v>
      </c>
    </row>
    <row r="38" spans="1:27" x14ac:dyDescent="0.2">
      <c r="A38" s="232"/>
      <c r="B38" s="232"/>
      <c r="C38" s="232"/>
      <c r="F38" s="40">
        <v>9.2999999999999901</v>
      </c>
      <c r="G38" s="81">
        <v>1186.6912439525759</v>
      </c>
      <c r="H38" s="81">
        <v>1003.28532577386</v>
      </c>
      <c r="I38" s="81">
        <v>844.2148379918284</v>
      </c>
      <c r="J38" s="81">
        <v>705.41107532227272</v>
      </c>
      <c r="K38" s="81">
        <v>583.4100059475187</v>
      </c>
      <c r="L38" s="81">
        <v>475.26802404650152</v>
      </c>
      <c r="M38" s="81">
        <v>378.48897077156369</v>
      </c>
      <c r="N38" s="81">
        <v>290.96095833742902</v>
      </c>
      <c r="O38" s="81">
        <v>210.90171854928076</v>
      </c>
      <c r="P38" s="81">
        <v>136.8113603520124</v>
      </c>
      <c r="Q38" s="81">
        <v>67.431563730343896</v>
      </c>
      <c r="R38" s="81">
        <v>1.7103620729518525</v>
      </c>
      <c r="S38" s="81">
        <v>-61.228225835764533</v>
      </c>
      <c r="T38" s="81">
        <v>-122.11035775817675</v>
      </c>
      <c r="U38" s="81">
        <v>-181.53488422742782</v>
      </c>
      <c r="V38" s="81">
        <v>-239.99270674061154</v>
      </c>
      <c r="W38" s="81">
        <v>-297.88340218513326</v>
      </c>
      <c r="X38" s="81">
        <v>-355.52948241834565</v>
      </c>
      <c r="Y38" s="81">
        <v>-413.18860964314126</v>
      </c>
      <c r="Z38" s="81">
        <v>-471.06404612359461</v>
      </c>
      <c r="AA38" s="81">
        <v>-529.31358008733707</v>
      </c>
    </row>
    <row r="39" spans="1:27" x14ac:dyDescent="0.2">
      <c r="F39" s="40">
        <v>9.3999999999999897</v>
      </c>
      <c r="G39" s="81">
        <v>1182.645350232769</v>
      </c>
      <c r="H39" s="81">
        <v>999.23943205405317</v>
      </c>
      <c r="I39" s="81">
        <v>840.16894427202146</v>
      </c>
      <c r="J39" s="81">
        <v>701.36518160246612</v>
      </c>
      <c r="K39" s="81">
        <v>579.36411222771198</v>
      </c>
      <c r="L39" s="81">
        <v>471.22213032669481</v>
      </c>
      <c r="M39" s="81">
        <v>374.4430770517568</v>
      </c>
      <c r="N39" s="81">
        <v>286.91506461762242</v>
      </c>
      <c r="O39" s="81">
        <v>206.8558248294741</v>
      </c>
      <c r="P39" s="81">
        <v>132.76546663220549</v>
      </c>
      <c r="Q39" s="81">
        <v>63.385670010537297</v>
      </c>
      <c r="R39" s="81">
        <v>-2.335531646854804</v>
      </c>
      <c r="S39" s="81">
        <v>-65.274119555571474</v>
      </c>
      <c r="T39" s="81">
        <v>-126.15625147798363</v>
      </c>
      <c r="U39" s="81">
        <v>-185.58077794723476</v>
      </c>
      <c r="V39" s="81">
        <v>-244.03860046041837</v>
      </c>
      <c r="W39" s="81">
        <v>-301.92929590494032</v>
      </c>
      <c r="X39" s="81">
        <v>-359.57537613815248</v>
      </c>
      <c r="Y39" s="81">
        <v>-417.23450336294809</v>
      </c>
      <c r="Z39" s="81">
        <v>-475.10993984340166</v>
      </c>
      <c r="AA39" s="81">
        <v>-533.35947380714401</v>
      </c>
    </row>
    <row r="40" spans="1:27" x14ac:dyDescent="0.2">
      <c r="F40" s="40">
        <v>9.4999999999999893</v>
      </c>
      <c r="G40" s="81">
        <v>1177.790277769001</v>
      </c>
      <c r="H40" s="81">
        <v>994.38435959028516</v>
      </c>
      <c r="I40" s="81">
        <v>835.31387180825345</v>
      </c>
      <c r="J40" s="81">
        <v>696.51010913869789</v>
      </c>
      <c r="K40" s="81">
        <v>574.50903976394386</v>
      </c>
      <c r="L40" s="81">
        <v>466.36705786292669</v>
      </c>
      <c r="M40" s="81">
        <v>369.58800458798885</v>
      </c>
      <c r="N40" s="81">
        <v>282.05999215385452</v>
      </c>
      <c r="O40" s="81">
        <v>202.00075236570618</v>
      </c>
      <c r="P40" s="81">
        <v>127.91039416843728</v>
      </c>
      <c r="Q40" s="81">
        <v>58.5305975467694</v>
      </c>
      <c r="R40" s="81">
        <v>-7.1906041106227008</v>
      </c>
      <c r="S40" s="81">
        <v>-70.129192019339655</v>
      </c>
      <c r="T40" s="81">
        <v>-131.0113239417513</v>
      </c>
      <c r="U40" s="81">
        <v>-190.435850411003</v>
      </c>
      <c r="V40" s="81">
        <v>-248.8936729241866</v>
      </c>
      <c r="W40" s="81">
        <v>-306.78436836870844</v>
      </c>
      <c r="X40" s="81">
        <v>-364.43044860192072</v>
      </c>
      <c r="Y40" s="81">
        <v>-422.08957582671633</v>
      </c>
      <c r="Z40" s="81">
        <v>-479.96501230716979</v>
      </c>
      <c r="AA40" s="81">
        <v>-538.21454627091225</v>
      </c>
    </row>
    <row r="41" spans="1:27" x14ac:dyDescent="0.2">
      <c r="F41" s="40">
        <v>9.5999999999999908</v>
      </c>
      <c r="G41" s="81">
        <v>1173.7443840491942</v>
      </c>
      <c r="H41" s="81">
        <v>990.33846587047822</v>
      </c>
      <c r="I41" s="81">
        <v>831.26797808844663</v>
      </c>
      <c r="J41" s="81">
        <v>692.46421541889094</v>
      </c>
      <c r="K41" s="81">
        <v>570.46314604413692</v>
      </c>
      <c r="L41" s="81">
        <v>462.32116414311974</v>
      </c>
      <c r="M41" s="81">
        <v>365.54211086818196</v>
      </c>
      <c r="N41" s="81">
        <v>278.01409843404758</v>
      </c>
      <c r="O41" s="81">
        <v>197.95485864589926</v>
      </c>
      <c r="P41" s="81">
        <v>123.86450044863037</v>
      </c>
      <c r="Q41" s="81">
        <v>54.484703826962459</v>
      </c>
      <c r="R41" s="81">
        <v>-11.236497830429641</v>
      </c>
      <c r="S41" s="81">
        <v>-74.175085739146596</v>
      </c>
      <c r="T41" s="81">
        <v>-135.05721766155824</v>
      </c>
      <c r="U41" s="81">
        <v>-194.48174413080983</v>
      </c>
      <c r="V41" s="81">
        <v>-252.93956664399354</v>
      </c>
      <c r="W41" s="81">
        <v>-310.83026208851538</v>
      </c>
      <c r="X41" s="81">
        <v>-368.47634232172766</v>
      </c>
      <c r="Y41" s="81">
        <v>-426.13546954652327</v>
      </c>
      <c r="Z41" s="81">
        <v>-484.01090602697673</v>
      </c>
      <c r="AA41" s="81">
        <v>-542.26043999071908</v>
      </c>
    </row>
    <row r="42" spans="1:27" x14ac:dyDescent="0.2">
      <c r="F42" s="40">
        <v>9.6999999999999904</v>
      </c>
      <c r="G42" s="81">
        <v>1169.6984903293874</v>
      </c>
      <c r="H42" s="81">
        <v>986.29257215067162</v>
      </c>
      <c r="I42" s="81">
        <v>827.22208436864003</v>
      </c>
      <c r="J42" s="81">
        <v>688.41832169908434</v>
      </c>
      <c r="K42" s="81">
        <v>566.41725232433032</v>
      </c>
      <c r="L42" s="81">
        <v>458.27527042331303</v>
      </c>
      <c r="M42" s="81">
        <v>361.49621714837531</v>
      </c>
      <c r="N42" s="81">
        <v>273.96820471424064</v>
      </c>
      <c r="O42" s="81">
        <v>193.90896492609235</v>
      </c>
      <c r="P42" s="81">
        <v>119.81860672882399</v>
      </c>
      <c r="Q42" s="81">
        <v>50.438810107155518</v>
      </c>
      <c r="R42" s="81">
        <v>-15.282391550236525</v>
      </c>
      <c r="S42" s="81">
        <v>-78.220979458952968</v>
      </c>
      <c r="T42" s="81">
        <v>-139.10311138136512</v>
      </c>
      <c r="U42" s="81">
        <v>-198.5276378506162</v>
      </c>
      <c r="V42" s="81">
        <v>-256.98546036379992</v>
      </c>
      <c r="W42" s="81">
        <v>-314.87615580832176</v>
      </c>
      <c r="X42" s="81">
        <v>-372.52223604153403</v>
      </c>
      <c r="Y42" s="81">
        <v>-430.18136326632964</v>
      </c>
      <c r="Z42" s="81">
        <v>-488.0567997467831</v>
      </c>
      <c r="AA42" s="81">
        <v>-546.30633371052545</v>
      </c>
    </row>
    <row r="43" spans="1:27" x14ac:dyDescent="0.2">
      <c r="F43" s="40">
        <v>9.7999999999999901</v>
      </c>
      <c r="G43" s="81">
        <v>1165.6525966095805</v>
      </c>
      <c r="H43" s="81">
        <v>982.24667843086479</v>
      </c>
      <c r="I43" s="81">
        <v>823.1761906488332</v>
      </c>
      <c r="J43" s="81">
        <v>684.37242797927775</v>
      </c>
      <c r="K43" s="81">
        <v>562.37135860452349</v>
      </c>
      <c r="L43" s="81">
        <v>454.22937670350643</v>
      </c>
      <c r="M43" s="81">
        <v>357.45032342856837</v>
      </c>
      <c r="N43" s="81">
        <v>269.92231099443404</v>
      </c>
      <c r="O43" s="81">
        <v>189.8630712062857</v>
      </c>
      <c r="P43" s="81">
        <v>115.77271300901708</v>
      </c>
      <c r="Q43" s="81">
        <v>46.392916387348919</v>
      </c>
      <c r="R43" s="81">
        <v>-19.328285270043239</v>
      </c>
      <c r="S43" s="81">
        <v>-82.266873178759852</v>
      </c>
      <c r="T43" s="81">
        <v>-143.14900510117207</v>
      </c>
      <c r="U43" s="81">
        <v>-202.57353157042314</v>
      </c>
      <c r="V43" s="81">
        <v>-261.03135408360686</v>
      </c>
      <c r="W43" s="81">
        <v>-318.92204952812858</v>
      </c>
      <c r="X43" s="81">
        <v>-376.56812976134097</v>
      </c>
      <c r="Y43" s="81">
        <v>-434.22725698613658</v>
      </c>
      <c r="Z43" s="81">
        <v>-492.10269346658993</v>
      </c>
      <c r="AA43" s="81">
        <v>-550.35222743033239</v>
      </c>
    </row>
    <row r="44" spans="1:27" x14ac:dyDescent="0.2">
      <c r="F44" s="40">
        <v>9.8999999999999897</v>
      </c>
      <c r="G44" s="81">
        <v>1161.6067028897739</v>
      </c>
      <c r="H44" s="81">
        <v>978.20078471105796</v>
      </c>
      <c r="I44" s="81">
        <v>819.13029692902637</v>
      </c>
      <c r="J44" s="81">
        <v>680.3265342594708</v>
      </c>
      <c r="K44" s="81">
        <v>558.32546488471667</v>
      </c>
      <c r="L44" s="81">
        <v>450.18348298369949</v>
      </c>
      <c r="M44" s="81">
        <v>353.40442970876177</v>
      </c>
      <c r="N44" s="81">
        <v>265.87641727462733</v>
      </c>
      <c r="O44" s="81">
        <v>185.81717748647907</v>
      </c>
      <c r="P44" s="81">
        <v>111.72681928921017</v>
      </c>
      <c r="Q44" s="81">
        <v>42.347022667542205</v>
      </c>
      <c r="R44" s="81">
        <v>-23.374178989849838</v>
      </c>
      <c r="S44" s="81">
        <v>-86.312766898566792</v>
      </c>
      <c r="T44" s="81">
        <v>-147.19489882097844</v>
      </c>
      <c r="U44" s="81">
        <v>-206.61942529023008</v>
      </c>
      <c r="V44" s="81">
        <v>-265.07724780341368</v>
      </c>
      <c r="W44" s="81">
        <v>-322.96794324793564</v>
      </c>
      <c r="X44" s="81">
        <v>-380.6140234811478</v>
      </c>
      <c r="Y44" s="81">
        <v>-438.27315070594341</v>
      </c>
      <c r="Z44" s="81">
        <v>-496.14858718639698</v>
      </c>
      <c r="AA44" s="81">
        <v>-554.39812115013933</v>
      </c>
    </row>
    <row r="45" spans="1:27" x14ac:dyDescent="0.2">
      <c r="F45" s="161">
        <v>9.9999999999999893</v>
      </c>
      <c r="G45" s="253">
        <v>1157.5608091699671</v>
      </c>
      <c r="H45" s="252">
        <v>974.15489099125125</v>
      </c>
      <c r="I45" s="253">
        <v>815.08440320921954</v>
      </c>
      <c r="J45" s="252">
        <v>676.28064053966409</v>
      </c>
      <c r="K45" s="253">
        <v>554.27957116490995</v>
      </c>
      <c r="L45" s="252">
        <v>446.13758926389289</v>
      </c>
      <c r="M45" s="253">
        <v>349.35853598895483</v>
      </c>
      <c r="N45" s="252">
        <v>261.83052355482045</v>
      </c>
      <c r="O45" s="253">
        <v>181.77128376667216</v>
      </c>
      <c r="P45" s="252">
        <v>107.68092556940351</v>
      </c>
      <c r="Q45" s="253">
        <v>38.301128947735322</v>
      </c>
      <c r="R45" s="252">
        <v>-27.420072709656779</v>
      </c>
      <c r="S45" s="253">
        <v>-90.358660618373676</v>
      </c>
      <c r="T45" s="252">
        <v>-151.24079254078532</v>
      </c>
      <c r="U45" s="253">
        <v>-210.66531901003691</v>
      </c>
      <c r="V45" s="252">
        <v>-269.12314152322074</v>
      </c>
      <c r="W45" s="253">
        <v>-327.01383696774246</v>
      </c>
      <c r="X45" s="252">
        <v>-384.65991720095417</v>
      </c>
      <c r="Y45" s="253">
        <v>-442.31904442575046</v>
      </c>
      <c r="Z45" s="252">
        <v>-500.19448090620335</v>
      </c>
      <c r="AA45" s="253">
        <v>-558.4440148699457</v>
      </c>
    </row>
    <row r="49" spans="2:9" x14ac:dyDescent="0.2">
      <c r="C49" t="str">
        <f>"Savings from PV and battery  (battery = "&amp;B7&amp;"kWh, star rating = "&amp;B6&amp;")"</f>
        <v>Savings from PV and battery  (battery = 0kWh, star rating = 7.5)</v>
      </c>
    </row>
    <row r="50" spans="2:9" x14ac:dyDescent="0.2">
      <c r="B50" s="6"/>
      <c r="C50" s="44" t="s">
        <v>27</v>
      </c>
      <c r="D50" s="44"/>
      <c r="E50" s="44"/>
      <c r="F50" s="44"/>
      <c r="G50" s="44"/>
      <c r="H50" s="44"/>
      <c r="I50" s="45"/>
    </row>
    <row r="51" spans="2:9" x14ac:dyDescent="0.2">
      <c r="B51" s="6">
        <f>B14</f>
        <v>711.42321990607434</v>
      </c>
      <c r="C51" s="38">
        <v>0.5</v>
      </c>
      <c r="D51" s="38">
        <v>1</v>
      </c>
      <c r="E51" s="38">
        <v>2</v>
      </c>
      <c r="F51" s="38">
        <v>3</v>
      </c>
      <c r="G51" s="38">
        <v>4</v>
      </c>
      <c r="H51" s="38">
        <v>5</v>
      </c>
      <c r="I51" s="39">
        <v>6</v>
      </c>
    </row>
    <row r="52" spans="2:9" x14ac:dyDescent="0.2">
      <c r="B52" s="57"/>
      <c r="C52" s="81">
        <f t="dataTable" ref="C52:I52" dt2D="1" dtr="1" r1="B5" r2="B6" ca="1"/>
        <v>183.40591817871592</v>
      </c>
      <c r="D52" s="81">
        <v>342.47640596074757</v>
      </c>
      <c r="E52" s="81">
        <v>603.28123800505716</v>
      </c>
      <c r="F52" s="81">
        <v>808.20227318101229</v>
      </c>
      <c r="G52" s="81">
        <v>975.78952540329487</v>
      </c>
      <c r="H52" s="81">
        <v>1119.259680222232</v>
      </c>
      <c r="I52" s="81">
        <v>1247.9194697883406</v>
      </c>
    </row>
    <row r="53" spans="2:9" x14ac:dyDescent="0.2">
      <c r="B53" s="57"/>
      <c r="C53" s="81"/>
      <c r="D53" s="81"/>
      <c r="E53" s="81"/>
      <c r="F53" s="81"/>
      <c r="G53" s="81"/>
      <c r="H53" s="81"/>
      <c r="I53" s="81"/>
    </row>
    <row r="54" spans="2:9" x14ac:dyDescent="0.2">
      <c r="B54" s="57"/>
      <c r="C54" s="81"/>
      <c r="D54" s="81"/>
      <c r="E54" s="81"/>
      <c r="F54" s="81"/>
      <c r="G54" s="81"/>
      <c r="H54" s="81"/>
      <c r="I54" s="81"/>
    </row>
    <row r="55" spans="2:9" x14ac:dyDescent="0.2">
      <c r="B55" s="57"/>
    </row>
    <row r="64" spans="2:9" x14ac:dyDescent="0.2">
      <c r="B64" s="57"/>
    </row>
    <row r="65" spans="1:12" x14ac:dyDescent="0.2">
      <c r="B65" s="57"/>
    </row>
    <row r="66" spans="1:12" x14ac:dyDescent="0.2">
      <c r="B66" s="57"/>
    </row>
    <row r="67" spans="1:12" x14ac:dyDescent="0.2">
      <c r="B67" s="82"/>
    </row>
    <row r="69" spans="1:12" x14ac:dyDescent="0.2">
      <c r="C69" t="str">
        <f>"Energy bills vs star rating and PV (battery = "&amp;B7&amp;"kWh)"</f>
        <v>Energy bills vs star rating and PV (battery = 0kWh)</v>
      </c>
    </row>
    <row r="70" spans="1:12" x14ac:dyDescent="0.2">
      <c r="B70" s="6"/>
      <c r="C70" s="38" t="s">
        <v>105</v>
      </c>
      <c r="D70" s="38" t="s">
        <v>211</v>
      </c>
      <c r="E70" s="38" t="s">
        <v>93</v>
      </c>
      <c r="F70" s="39" t="s">
        <v>95</v>
      </c>
      <c r="G70" s="82" t="s">
        <v>283</v>
      </c>
      <c r="H70" s="82" t="s">
        <v>284</v>
      </c>
      <c r="J70" s="82"/>
      <c r="L70" s="82"/>
    </row>
    <row r="71" spans="1:12" x14ac:dyDescent="0.2">
      <c r="A71" s="270" t="s">
        <v>91</v>
      </c>
      <c r="B71" s="57">
        <f>F5</f>
        <v>6</v>
      </c>
      <c r="C71" s="6">
        <f>G5</f>
        <v>1355.0004226965373</v>
      </c>
      <c r="D71" s="6">
        <f>K5</f>
        <v>751.71918469148011</v>
      </c>
      <c r="E71" s="6">
        <f>O5</f>
        <v>379.21089729324223</v>
      </c>
      <c r="F71" s="237">
        <f>S5</f>
        <v>107.08095290819693</v>
      </c>
      <c r="G71" s="81">
        <f>W5</f>
        <v>-129.57422344117185</v>
      </c>
      <c r="H71" s="81">
        <f>AA5</f>
        <v>-361.00440134337612</v>
      </c>
      <c r="J71" s="81"/>
      <c r="L71" s="81"/>
    </row>
    <row r="72" spans="1:12" x14ac:dyDescent="0.2">
      <c r="A72" s="270"/>
      <c r="B72" s="57">
        <f>F15</f>
        <v>7</v>
      </c>
      <c r="C72" s="6">
        <f>G15</f>
        <v>1299.167089363204</v>
      </c>
      <c r="D72" s="6">
        <f>K15</f>
        <v>695.88585135814674</v>
      </c>
      <c r="E72" s="6">
        <f>O15</f>
        <v>323.3775639599088</v>
      </c>
      <c r="F72" s="237">
        <f>S15</f>
        <v>51.247619574863506</v>
      </c>
      <c r="G72" s="81">
        <f>W15</f>
        <v>-185.40755677450534</v>
      </c>
      <c r="H72" s="81">
        <f>AA15</f>
        <v>-416.83773467670903</v>
      </c>
      <c r="J72" s="81"/>
      <c r="L72" s="81"/>
    </row>
    <row r="73" spans="1:12" x14ac:dyDescent="0.2">
      <c r="A73" s="270"/>
      <c r="B73" s="57">
        <f>F25</f>
        <v>7.9999999999999902</v>
      </c>
      <c r="C73" s="6">
        <f>G25</f>
        <v>1250.6163647255225</v>
      </c>
      <c r="D73" s="6">
        <f>K25</f>
        <v>647.3351267204655</v>
      </c>
      <c r="E73" s="6">
        <f>O25</f>
        <v>274.82683932222773</v>
      </c>
      <c r="F73" s="237">
        <f>S25</f>
        <v>2.6968949371821509</v>
      </c>
      <c r="G73" s="81">
        <f>W25</f>
        <v>-233.95828141218658</v>
      </c>
      <c r="H73" s="81">
        <f>AA25</f>
        <v>-465.38845931439039</v>
      </c>
      <c r="J73" s="81"/>
      <c r="L73" s="81"/>
    </row>
    <row r="74" spans="1:12" x14ac:dyDescent="0.2">
      <c r="A74" s="270"/>
      <c r="B74" s="57">
        <f>F35</f>
        <v>8.9999999999999893</v>
      </c>
      <c r="C74" s="6">
        <f>G35</f>
        <v>1200.4472825999189</v>
      </c>
      <c r="D74" s="6">
        <f>K35</f>
        <v>597.16604459486166</v>
      </c>
      <c r="E74" s="6">
        <f>O35</f>
        <v>224.65775719662406</v>
      </c>
      <c r="F74" s="237">
        <f>S35</f>
        <v>-47.472187188421799</v>
      </c>
      <c r="G74" s="81">
        <f>W35</f>
        <v>-284.12736353779064</v>
      </c>
      <c r="H74" s="81">
        <f>AA35</f>
        <v>-515.55754143999434</v>
      </c>
      <c r="J74" s="81"/>
      <c r="L74" s="81"/>
    </row>
    <row r="75" spans="1:12" x14ac:dyDescent="0.2">
      <c r="A75" s="270"/>
      <c r="B75" s="57">
        <f>F45</f>
        <v>9.9999999999999893</v>
      </c>
      <c r="C75" s="6">
        <f>G45</f>
        <v>1157.5608091699671</v>
      </c>
      <c r="D75" s="6">
        <f>K45</f>
        <v>554.27957116490995</v>
      </c>
      <c r="E75" s="6">
        <f>O45</f>
        <v>181.77128376667216</v>
      </c>
      <c r="F75" s="237">
        <f>S45</f>
        <v>-90.358660618373676</v>
      </c>
      <c r="G75" s="81">
        <f>W45</f>
        <v>-327.01383696774246</v>
      </c>
      <c r="H75" s="81">
        <f>AA45</f>
        <v>-558.4440148699457</v>
      </c>
      <c r="J75" s="81"/>
      <c r="L75" s="81"/>
    </row>
    <row r="76" spans="1:12" x14ac:dyDescent="0.2">
      <c r="A76" s="56"/>
      <c r="B76" s="57"/>
      <c r="C76" s="6"/>
      <c r="D76" s="6"/>
      <c r="E76" s="6"/>
      <c r="F76" s="6"/>
      <c r="G76" s="6"/>
      <c r="H76" s="6"/>
      <c r="I76" s="6"/>
    </row>
    <row r="77" spans="1:12" x14ac:dyDescent="0.2">
      <c r="A77" s="56"/>
      <c r="B77" s="57"/>
      <c r="C77" s="6"/>
      <c r="D77" s="6"/>
      <c r="E77" s="6"/>
      <c r="F77" s="6"/>
      <c r="G77" s="6"/>
      <c r="H77" s="6"/>
      <c r="I77" s="6"/>
    </row>
    <row r="78" spans="1:12" x14ac:dyDescent="0.2">
      <c r="A78" s="56"/>
      <c r="B78" s="57"/>
      <c r="C78" s="6"/>
      <c r="D78" s="6"/>
      <c r="E78" s="6"/>
      <c r="F78" s="6"/>
      <c r="G78" s="6"/>
      <c r="H78" s="6"/>
      <c r="I78" s="6"/>
    </row>
    <row r="79" spans="1:12" x14ac:dyDescent="0.2">
      <c r="A79" s="56"/>
      <c r="B79" s="57"/>
      <c r="C79" s="6"/>
      <c r="D79" s="6"/>
      <c r="E79" s="6"/>
      <c r="F79" s="6"/>
      <c r="G79" s="6"/>
      <c r="H79" s="6"/>
      <c r="I79" s="6"/>
    </row>
    <row r="80" spans="1:12" x14ac:dyDescent="0.2">
      <c r="A80" s="56"/>
      <c r="B80" s="57"/>
      <c r="C80" s="6"/>
      <c r="D80" s="6"/>
      <c r="E80" s="6"/>
      <c r="F80" s="6"/>
      <c r="G80" s="6"/>
      <c r="H80" s="6"/>
      <c r="I80" s="6"/>
    </row>
    <row r="81" spans="1:27" x14ac:dyDescent="0.2">
      <c r="A81" s="56"/>
      <c r="B81" s="57"/>
      <c r="C81" s="6"/>
      <c r="D81" s="6"/>
      <c r="E81" s="6"/>
      <c r="F81" s="6"/>
      <c r="G81" s="6"/>
      <c r="H81" s="6"/>
      <c r="I81" s="6"/>
    </row>
    <row r="82" spans="1:27" x14ac:dyDescent="0.2">
      <c r="A82" s="56"/>
      <c r="B82" s="57"/>
      <c r="C82" s="6"/>
      <c r="D82" s="6"/>
      <c r="F82" t="str">
        <f>"Sensitivity analysis for annual energy bill with PV capacity and battery capacity as variables (assuming star rating of "&amp;$B$6&amp;")"</f>
        <v>Sensitivity analysis for annual energy bill with PV capacity and battery capacity as variables (assuming star rating of 7.5)</v>
      </c>
    </row>
    <row r="83" spans="1:27" x14ac:dyDescent="0.2">
      <c r="A83" s="56"/>
      <c r="B83" s="57"/>
      <c r="C83" s="6"/>
      <c r="D83" s="6"/>
      <c r="E83" s="41"/>
      <c r="F83" s="42"/>
      <c r="G83" s="44" t="s">
        <v>27</v>
      </c>
      <c r="H83" s="44"/>
      <c r="I83" s="44"/>
      <c r="J83" s="44"/>
      <c r="K83" s="44"/>
      <c r="L83" s="44"/>
      <c r="M83" s="45"/>
    </row>
    <row r="84" spans="1:27" x14ac:dyDescent="0.2">
      <c r="A84" s="56"/>
      <c r="B84" s="57"/>
      <c r="C84" s="6"/>
      <c r="D84" s="6"/>
      <c r="E84" s="43"/>
      <c r="F84" s="54">
        <f>B12</f>
        <v>561.85014965036635</v>
      </c>
      <c r="G84" s="38">
        <v>0</v>
      </c>
      <c r="H84" s="38">
        <v>0.5</v>
      </c>
      <c r="I84" s="38">
        <v>1</v>
      </c>
      <c r="J84" s="38">
        <v>1.5</v>
      </c>
      <c r="K84" s="38">
        <v>2</v>
      </c>
      <c r="L84" s="38">
        <v>2.5</v>
      </c>
      <c r="M84" s="38">
        <v>3</v>
      </c>
      <c r="N84" s="38">
        <v>3.5</v>
      </c>
      <c r="O84" s="38">
        <v>4</v>
      </c>
      <c r="P84" s="38">
        <v>4.5</v>
      </c>
      <c r="Q84" s="38">
        <v>5</v>
      </c>
      <c r="R84" s="38">
        <v>5.5</v>
      </c>
      <c r="S84" s="38">
        <v>6</v>
      </c>
      <c r="T84" s="38">
        <v>6.5</v>
      </c>
      <c r="U84" s="38">
        <v>7</v>
      </c>
      <c r="V84" s="38">
        <v>7.5</v>
      </c>
      <c r="W84" s="38">
        <v>8</v>
      </c>
      <c r="X84" s="38">
        <v>8.5</v>
      </c>
      <c r="Y84" s="38">
        <v>9</v>
      </c>
      <c r="Z84" s="38">
        <v>9.5</v>
      </c>
      <c r="AA84" s="38">
        <v>10</v>
      </c>
    </row>
    <row r="85" spans="1:27" x14ac:dyDescent="0.2">
      <c r="A85" s="56"/>
      <c r="C85" s="56"/>
      <c r="E85" s="268" t="s">
        <v>226</v>
      </c>
      <c r="F85" s="183">
        <v>0</v>
      </c>
      <c r="G85" s="164">
        <f t="dataTable" ref="G85:AA125" dt2D="1" dtr="1" r1="B5" r2="B7" ca="1"/>
        <v>1273.2733695564407</v>
      </c>
      <c r="H85" s="159">
        <v>1089.8674513777246</v>
      </c>
      <c r="I85" s="164">
        <v>930.79696359569311</v>
      </c>
      <c r="J85" s="159">
        <v>791.99320092613755</v>
      </c>
      <c r="K85" s="164">
        <v>669.99213155138352</v>
      </c>
      <c r="L85" s="159">
        <v>561.85014965036635</v>
      </c>
      <c r="M85" s="164">
        <v>465.07109637542828</v>
      </c>
      <c r="N85" s="167">
        <v>377.5430839412939</v>
      </c>
      <c r="O85" s="165">
        <v>297.48384415314558</v>
      </c>
      <c r="P85" s="168">
        <v>223.39348595587694</v>
      </c>
      <c r="Q85" s="165">
        <v>154.01368933420878</v>
      </c>
      <c r="R85" s="168">
        <v>88.292487676816393</v>
      </c>
      <c r="S85" s="165">
        <v>25.353899768100007</v>
      </c>
      <c r="T85" s="168">
        <v>-35.528232154312207</v>
      </c>
      <c r="U85" s="165">
        <v>-94.952758623563284</v>
      </c>
      <c r="V85" s="168">
        <v>-153.410581136747</v>
      </c>
      <c r="W85" s="165">
        <v>-211.30127658126878</v>
      </c>
      <c r="X85" s="168">
        <v>-268.94735681448105</v>
      </c>
      <c r="Y85" s="165">
        <v>-326.60648403927667</v>
      </c>
      <c r="Z85" s="168">
        <v>-384.48192051973012</v>
      </c>
      <c r="AA85" s="165">
        <v>-442.73145448347248</v>
      </c>
    </row>
    <row r="86" spans="1:27" x14ac:dyDescent="0.2">
      <c r="E86" s="269"/>
      <c r="F86" s="182">
        <v>0.25</v>
      </c>
      <c r="G86" s="160">
        <v>1260.037226521767</v>
      </c>
      <c r="H86" s="160">
        <v>1076.6313083430512</v>
      </c>
      <c r="I86" s="160">
        <v>917.56082056101957</v>
      </c>
      <c r="J86" s="160">
        <v>778.75705789146411</v>
      </c>
      <c r="K86" s="160">
        <v>656.75598851671009</v>
      </c>
      <c r="L86" s="160">
        <v>548.61400661569292</v>
      </c>
      <c r="M86" s="160">
        <v>451.83495334075479</v>
      </c>
      <c r="N86" s="81">
        <v>364.30694090662041</v>
      </c>
      <c r="O86" s="81">
        <v>284.24770111847215</v>
      </c>
      <c r="P86" s="81">
        <v>210.15734292120345</v>
      </c>
      <c r="Q86" s="81">
        <v>140.77754629953523</v>
      </c>
      <c r="R86" s="81">
        <v>75.056344642142903</v>
      </c>
      <c r="S86" s="81">
        <v>12.117756733426631</v>
      </c>
      <c r="T86" s="81">
        <v>-48.764375188985696</v>
      </c>
      <c r="U86" s="81">
        <v>-108.18890165823666</v>
      </c>
      <c r="V86" s="81">
        <v>-166.64672417142037</v>
      </c>
      <c r="W86" s="81">
        <v>-224.5374196159421</v>
      </c>
      <c r="X86" s="81">
        <v>-282.18349984915449</v>
      </c>
      <c r="Y86" s="81">
        <v>-339.8426270739501</v>
      </c>
      <c r="Z86" s="81">
        <v>-397.71806355440356</v>
      </c>
      <c r="AA86" s="81">
        <v>-455.96759751814568</v>
      </c>
    </row>
    <row r="87" spans="1:27" x14ac:dyDescent="0.2">
      <c r="E87" s="163"/>
      <c r="F87" s="183">
        <v>0.5</v>
      </c>
      <c r="G87" s="160">
        <v>1247.3280926316966</v>
      </c>
      <c r="H87" s="160">
        <v>1063.9221744529805</v>
      </c>
      <c r="I87" s="160">
        <v>904.85168667094899</v>
      </c>
      <c r="J87" s="160">
        <v>766.04792400139354</v>
      </c>
      <c r="K87" s="160">
        <v>644.04685462663952</v>
      </c>
      <c r="L87" s="160">
        <v>535.90487272562223</v>
      </c>
      <c r="M87" s="160">
        <v>439.12581945068422</v>
      </c>
      <c r="N87" s="81">
        <v>351.59780701654984</v>
      </c>
      <c r="O87" s="81">
        <v>271.53856722840152</v>
      </c>
      <c r="P87" s="81">
        <v>197.44820903113288</v>
      </c>
      <c r="Q87" s="81">
        <v>128.06841240946466</v>
      </c>
      <c r="R87" s="81">
        <v>62.347210752072385</v>
      </c>
      <c r="S87" s="81">
        <v>-0.59137715664400048</v>
      </c>
      <c r="T87" s="81">
        <v>-61.473509079056214</v>
      </c>
      <c r="U87" s="81">
        <v>-120.89803554830729</v>
      </c>
      <c r="V87" s="81">
        <v>-179.35585806149101</v>
      </c>
      <c r="W87" s="81">
        <v>-237.24655350601279</v>
      </c>
      <c r="X87" s="81">
        <v>-294.89263373922518</v>
      </c>
      <c r="Y87" s="81">
        <v>-352.55176096402079</v>
      </c>
      <c r="Z87" s="81">
        <v>-410.42719744447413</v>
      </c>
      <c r="AA87" s="81">
        <v>-468.6767314082166</v>
      </c>
    </row>
    <row r="88" spans="1:27" x14ac:dyDescent="0.2">
      <c r="E88" s="163"/>
      <c r="F88" s="182">
        <v>0.75</v>
      </c>
      <c r="G88" s="160">
        <v>1235.1302303727912</v>
      </c>
      <c r="H88" s="160">
        <v>1051.7243121940751</v>
      </c>
      <c r="I88" s="160">
        <v>892.6538244120436</v>
      </c>
      <c r="J88" s="160">
        <v>753.85006174248815</v>
      </c>
      <c r="K88" s="160">
        <v>631.84899236773413</v>
      </c>
      <c r="L88" s="160">
        <v>523.70701046671684</v>
      </c>
      <c r="M88" s="160">
        <v>426.92795719177883</v>
      </c>
      <c r="N88" s="81">
        <v>339.39994475764445</v>
      </c>
      <c r="O88" s="81">
        <v>259.34070496949613</v>
      </c>
      <c r="P88" s="81">
        <v>185.25034677222749</v>
      </c>
      <c r="Q88" s="81">
        <v>115.87055015055927</v>
      </c>
      <c r="R88" s="81">
        <v>50.14934849316694</v>
      </c>
      <c r="S88" s="81">
        <v>-12.789239415549446</v>
      </c>
      <c r="T88" s="81">
        <v>-73.671371337961602</v>
      </c>
      <c r="U88" s="81">
        <v>-133.09589780721268</v>
      </c>
      <c r="V88" s="81">
        <v>-191.55372032039645</v>
      </c>
      <c r="W88" s="81">
        <v>-249.44441576491818</v>
      </c>
      <c r="X88" s="81">
        <v>-307.09049599813034</v>
      </c>
      <c r="Y88" s="81">
        <v>-364.74962322292618</v>
      </c>
      <c r="Z88" s="81">
        <v>-422.62505970337963</v>
      </c>
      <c r="AA88" s="81">
        <v>-480.87459366712187</v>
      </c>
    </row>
    <row r="89" spans="1:27" x14ac:dyDescent="0.2">
      <c r="E89" s="163"/>
      <c r="F89" s="183">
        <v>1</v>
      </c>
      <c r="G89" s="160">
        <v>1223.4283199672768</v>
      </c>
      <c r="H89" s="160">
        <v>1040.022401788561</v>
      </c>
      <c r="I89" s="160">
        <v>880.95191400652925</v>
      </c>
      <c r="J89" s="160">
        <v>742.14815133697391</v>
      </c>
      <c r="K89" s="160">
        <v>620.14708196221977</v>
      </c>
      <c r="L89" s="160">
        <v>512.0051000612026</v>
      </c>
      <c r="M89" s="160">
        <v>415.22604678626459</v>
      </c>
      <c r="N89" s="81">
        <v>327.69803435213021</v>
      </c>
      <c r="O89" s="81">
        <v>247.63879456398192</v>
      </c>
      <c r="P89" s="81">
        <v>173.5484363667133</v>
      </c>
      <c r="Q89" s="81">
        <v>104.16863974504503</v>
      </c>
      <c r="R89" s="81">
        <v>38.447438087652756</v>
      </c>
      <c r="S89" s="81">
        <v>-24.49114982106363</v>
      </c>
      <c r="T89" s="81">
        <v>-85.373281743475843</v>
      </c>
      <c r="U89" s="81">
        <v>-144.79780821272692</v>
      </c>
      <c r="V89" s="81">
        <v>-203.25563072591058</v>
      </c>
      <c r="W89" s="81">
        <v>-261.14632617043253</v>
      </c>
      <c r="X89" s="81">
        <v>-318.79240640364469</v>
      </c>
      <c r="Y89" s="81">
        <v>-376.45153362844053</v>
      </c>
      <c r="Z89" s="81">
        <v>-434.32697010889387</v>
      </c>
      <c r="AA89" s="81">
        <v>-492.576504072636</v>
      </c>
    </row>
    <row r="90" spans="1:27" x14ac:dyDescent="0.2">
      <c r="E90" s="163"/>
      <c r="F90" s="182">
        <v>1.25</v>
      </c>
      <c r="G90" s="160">
        <v>1212.2074489777142</v>
      </c>
      <c r="H90" s="160">
        <v>1028.8015307989981</v>
      </c>
      <c r="I90" s="160">
        <v>869.73104301696662</v>
      </c>
      <c r="J90" s="160">
        <v>730.92728034741117</v>
      </c>
      <c r="K90" s="160">
        <v>608.92621097265715</v>
      </c>
      <c r="L90" s="160">
        <v>500.78422907163986</v>
      </c>
      <c r="M90" s="160">
        <v>404.00517579670185</v>
      </c>
      <c r="N90" s="81">
        <v>316.47716336256747</v>
      </c>
      <c r="O90" s="81">
        <v>236.41792357441912</v>
      </c>
      <c r="P90" s="81">
        <v>162.32756537715051</v>
      </c>
      <c r="Q90" s="81">
        <v>92.947768755482343</v>
      </c>
      <c r="R90" s="81">
        <v>27.226567098090072</v>
      </c>
      <c r="S90" s="81">
        <v>-35.712020810626314</v>
      </c>
      <c r="T90" s="81">
        <v>-96.594152733038641</v>
      </c>
      <c r="U90" s="81">
        <v>-156.01867920228966</v>
      </c>
      <c r="V90" s="81">
        <v>-214.4765017154732</v>
      </c>
      <c r="W90" s="81">
        <v>-272.36719715999516</v>
      </c>
      <c r="X90" s="81">
        <v>-330.01327739320755</v>
      </c>
      <c r="Y90" s="81">
        <v>-387.67240461800316</v>
      </c>
      <c r="Z90" s="81">
        <v>-445.5478410984565</v>
      </c>
      <c r="AA90" s="81">
        <v>-503.79737506219874</v>
      </c>
    </row>
    <row r="91" spans="1:27" x14ac:dyDescent="0.2">
      <c r="E91" s="163"/>
      <c r="F91" s="183">
        <v>1.5</v>
      </c>
      <c r="G91" s="160">
        <v>1201.4531021600069</v>
      </c>
      <c r="H91" s="160">
        <v>1018.0471839812909</v>
      </c>
      <c r="I91" s="160">
        <v>858.97669619925932</v>
      </c>
      <c r="J91" s="160">
        <v>720.17293352970387</v>
      </c>
      <c r="K91" s="160">
        <v>598.17186415494984</v>
      </c>
      <c r="L91" s="160">
        <v>490.02988225393256</v>
      </c>
      <c r="M91" s="160">
        <v>393.25082897899455</v>
      </c>
      <c r="N91" s="81">
        <v>305.72281654486017</v>
      </c>
      <c r="O91" s="81">
        <v>225.66357675671182</v>
      </c>
      <c r="P91" s="81">
        <v>151.57321855944321</v>
      </c>
      <c r="Q91" s="81">
        <v>82.193421937775014</v>
      </c>
      <c r="R91" s="81">
        <v>16.472220280382771</v>
      </c>
      <c r="S91" s="81">
        <v>-46.466367628333614</v>
      </c>
      <c r="T91" s="81">
        <v>-107.34849955074594</v>
      </c>
      <c r="U91" s="81">
        <v>-166.77302601999691</v>
      </c>
      <c r="V91" s="81">
        <v>-225.23084853318073</v>
      </c>
      <c r="W91" s="81">
        <v>-283.12154397770246</v>
      </c>
      <c r="X91" s="81">
        <v>-340.76762421091485</v>
      </c>
      <c r="Y91" s="81">
        <v>-398.42675143571046</v>
      </c>
      <c r="Z91" s="81">
        <v>-456.3021879161638</v>
      </c>
      <c r="AA91" s="81">
        <v>-514.55172187990615</v>
      </c>
    </row>
    <row r="92" spans="1:27" x14ac:dyDescent="0.2">
      <c r="E92" s="163"/>
      <c r="F92" s="182">
        <v>1.75</v>
      </c>
      <c r="G92" s="160">
        <v>1191.151151558985</v>
      </c>
      <c r="H92" s="160">
        <v>1007.7452333802689</v>
      </c>
      <c r="I92" s="160">
        <v>848.67474559823745</v>
      </c>
      <c r="J92" s="160">
        <v>709.870982928682</v>
      </c>
      <c r="K92" s="160">
        <v>587.86991355392786</v>
      </c>
      <c r="L92" s="160">
        <v>479.72793165291068</v>
      </c>
      <c r="M92" s="160">
        <v>382.94887837797262</v>
      </c>
      <c r="N92" s="81">
        <v>295.42086594383829</v>
      </c>
      <c r="O92" s="81">
        <v>215.36162615569</v>
      </c>
      <c r="P92" s="81">
        <v>141.27126795842136</v>
      </c>
      <c r="Q92" s="81">
        <v>71.891471336753114</v>
      </c>
      <c r="R92" s="81">
        <v>6.1702696793607856</v>
      </c>
      <c r="S92" s="81">
        <v>-56.768318229355486</v>
      </c>
      <c r="T92" s="81">
        <v>-117.65045015176781</v>
      </c>
      <c r="U92" s="81">
        <v>-177.07497662101883</v>
      </c>
      <c r="V92" s="81">
        <v>-235.53279913420249</v>
      </c>
      <c r="W92" s="81">
        <v>-293.42349457872444</v>
      </c>
      <c r="X92" s="81">
        <v>-351.06957481193672</v>
      </c>
      <c r="Y92" s="81">
        <v>-408.72870203673233</v>
      </c>
      <c r="Z92" s="81">
        <v>-466.60413851718567</v>
      </c>
      <c r="AA92" s="81">
        <v>-524.85367248092814</v>
      </c>
    </row>
    <row r="93" spans="1:27" x14ac:dyDescent="0.2">
      <c r="E93" s="163"/>
      <c r="F93" s="183">
        <v>2</v>
      </c>
      <c r="G93" s="160">
        <v>1181.2878468409208</v>
      </c>
      <c r="H93" s="160">
        <v>997.88192866220504</v>
      </c>
      <c r="I93" s="160">
        <v>838.81144088017345</v>
      </c>
      <c r="J93" s="160">
        <v>700.007678210618</v>
      </c>
      <c r="K93" s="160">
        <v>578.00660883586397</v>
      </c>
      <c r="L93" s="160">
        <v>469.86462693484668</v>
      </c>
      <c r="M93" s="160">
        <v>373.08557365990862</v>
      </c>
      <c r="N93" s="81">
        <v>285.55756122577429</v>
      </c>
      <c r="O93" s="81">
        <v>205.49832143762595</v>
      </c>
      <c r="P93" s="81">
        <v>131.40796324035733</v>
      </c>
      <c r="Q93" s="81">
        <v>62.02816661868917</v>
      </c>
      <c r="R93" s="81">
        <v>-3.6930350387032149</v>
      </c>
      <c r="S93" s="81">
        <v>-66.631622947419601</v>
      </c>
      <c r="T93" s="81">
        <v>-127.51375486983181</v>
      </c>
      <c r="U93" s="81">
        <v>-186.93828133908289</v>
      </c>
      <c r="V93" s="81">
        <v>-245.39610385226661</v>
      </c>
      <c r="W93" s="81">
        <v>-303.28679929678833</v>
      </c>
      <c r="X93" s="81">
        <v>-360.93287953000072</v>
      </c>
      <c r="Y93" s="81">
        <v>-418.59200675479633</v>
      </c>
      <c r="Z93" s="81">
        <v>-476.46744323524968</v>
      </c>
      <c r="AA93" s="81">
        <v>-534.71697719899214</v>
      </c>
    </row>
    <row r="94" spans="1:27" x14ac:dyDescent="0.2">
      <c r="E94" s="163"/>
      <c r="F94" s="182">
        <v>2.25</v>
      </c>
      <c r="G94" s="160">
        <v>1171.8498058574737</v>
      </c>
      <c r="H94" s="160">
        <v>988.44388767875785</v>
      </c>
      <c r="I94" s="160">
        <v>829.37339989672626</v>
      </c>
      <c r="J94" s="160">
        <v>690.5696372271708</v>
      </c>
      <c r="K94" s="160">
        <v>568.56856785241666</v>
      </c>
      <c r="L94" s="160">
        <v>460.42658595139949</v>
      </c>
      <c r="M94" s="160">
        <v>363.64753267646142</v>
      </c>
      <c r="N94" s="81">
        <v>276.11952024232704</v>
      </c>
      <c r="O94" s="81">
        <v>196.06028045417872</v>
      </c>
      <c r="P94" s="81">
        <v>121.96992225691011</v>
      </c>
      <c r="Q94" s="81">
        <v>52.590125635241861</v>
      </c>
      <c r="R94" s="81">
        <v>-13.13107602215041</v>
      </c>
      <c r="S94" s="81">
        <v>-76.069663930866795</v>
      </c>
      <c r="T94" s="81">
        <v>-136.95179585327912</v>
      </c>
      <c r="U94" s="81">
        <v>-196.37632232253009</v>
      </c>
      <c r="V94" s="81">
        <v>-254.8341448357138</v>
      </c>
      <c r="W94" s="81">
        <v>-312.72484028023541</v>
      </c>
      <c r="X94" s="81">
        <v>-370.37092051344803</v>
      </c>
      <c r="Y94" s="81">
        <v>-428.03004773824341</v>
      </c>
      <c r="Z94" s="81">
        <v>-485.90548421869698</v>
      </c>
      <c r="AA94" s="81">
        <v>-544.15501818243933</v>
      </c>
    </row>
    <row r="95" spans="1:27" x14ac:dyDescent="0.2">
      <c r="E95" s="163"/>
      <c r="F95" s="183">
        <v>2.5</v>
      </c>
      <c r="G95" s="166">
        <v>1162.8240054356756</v>
      </c>
      <c r="H95" s="160">
        <v>979.41808725695978</v>
      </c>
      <c r="I95" s="166">
        <v>820.34759947492819</v>
      </c>
      <c r="J95" s="160">
        <v>681.54383680537262</v>
      </c>
      <c r="K95" s="166">
        <v>559.5427674306186</v>
      </c>
      <c r="L95" s="160">
        <v>451.40078552960142</v>
      </c>
      <c r="M95" s="166">
        <v>354.62173225466336</v>
      </c>
      <c r="N95" s="168">
        <v>267.09371982052897</v>
      </c>
      <c r="O95" s="165">
        <v>187.03448003238066</v>
      </c>
      <c r="P95" s="168">
        <v>112.94412183511204</v>
      </c>
      <c r="Q95" s="165">
        <v>43.564325213443851</v>
      </c>
      <c r="R95" s="168">
        <v>-22.156876443948477</v>
      </c>
      <c r="S95" s="165">
        <v>-85.095464352664862</v>
      </c>
      <c r="T95" s="168">
        <v>-145.97759627507708</v>
      </c>
      <c r="U95" s="165">
        <v>-205.40212274432815</v>
      </c>
      <c r="V95" s="168">
        <v>-263.85994525751187</v>
      </c>
      <c r="W95" s="165">
        <v>-321.75064070203371</v>
      </c>
      <c r="X95" s="168">
        <v>-379.39672093524609</v>
      </c>
      <c r="Y95" s="165">
        <v>-437.05584816004171</v>
      </c>
      <c r="Z95" s="168">
        <v>-494.93128464049505</v>
      </c>
      <c r="AA95" s="165">
        <v>-553.1808186042374</v>
      </c>
    </row>
    <row r="96" spans="1:27" x14ac:dyDescent="0.2">
      <c r="E96" s="163"/>
      <c r="F96" s="182">
        <v>2.75</v>
      </c>
      <c r="G96" s="160">
        <v>1154.1977723887035</v>
      </c>
      <c r="H96" s="160">
        <v>970.79185420998749</v>
      </c>
      <c r="I96" s="160">
        <v>811.7213664279559</v>
      </c>
      <c r="J96" s="160">
        <v>672.91760375840045</v>
      </c>
      <c r="K96" s="160">
        <v>550.91653438364631</v>
      </c>
      <c r="L96" s="160">
        <v>442.77455248262913</v>
      </c>
      <c r="M96" s="160">
        <v>345.99549920769113</v>
      </c>
      <c r="N96" s="81">
        <v>258.46748677355674</v>
      </c>
      <c r="O96" s="81">
        <v>178.40824698540848</v>
      </c>
      <c r="P96" s="81">
        <v>104.31788878813984</v>
      </c>
      <c r="Q96" s="81">
        <v>34.93809216647162</v>
      </c>
      <c r="R96" s="81">
        <v>-30.783109490920708</v>
      </c>
      <c r="S96" s="81">
        <v>-93.721697399637151</v>
      </c>
      <c r="T96" s="81">
        <v>-154.60382932204931</v>
      </c>
      <c r="U96" s="81">
        <v>-214.02835579130044</v>
      </c>
      <c r="V96" s="81">
        <v>-272.48617830448416</v>
      </c>
      <c r="W96" s="81">
        <v>-330.37687374900588</v>
      </c>
      <c r="X96" s="81">
        <v>-388.02295398221827</v>
      </c>
      <c r="Y96" s="81">
        <v>-445.68208120701388</v>
      </c>
      <c r="Z96" s="81">
        <v>-503.55751768746734</v>
      </c>
      <c r="AA96" s="81">
        <v>-561.8070516512098</v>
      </c>
    </row>
    <row r="97" spans="5:27" x14ac:dyDescent="0.2">
      <c r="E97" s="163"/>
      <c r="F97" s="183">
        <v>3</v>
      </c>
      <c r="G97" s="160">
        <v>1145.9587747422916</v>
      </c>
      <c r="H97" s="160">
        <v>962.55285656357569</v>
      </c>
      <c r="I97" s="160">
        <v>803.48236878154421</v>
      </c>
      <c r="J97" s="160">
        <v>664.67860611198876</v>
      </c>
      <c r="K97" s="160">
        <v>542.67753673723462</v>
      </c>
      <c r="L97" s="160">
        <v>434.53555483621744</v>
      </c>
      <c r="M97" s="160">
        <v>337.75650156127938</v>
      </c>
      <c r="N97" s="81">
        <v>250.228489127145</v>
      </c>
      <c r="O97" s="81">
        <v>170.16924933899668</v>
      </c>
      <c r="P97" s="81">
        <v>96.078891141728093</v>
      </c>
      <c r="Q97" s="81">
        <v>26.699094520059873</v>
      </c>
      <c r="R97" s="81">
        <v>-39.022107137332455</v>
      </c>
      <c r="S97" s="81">
        <v>-101.96069504604884</v>
      </c>
      <c r="T97" s="81">
        <v>-162.84282696846111</v>
      </c>
      <c r="U97" s="81">
        <v>-222.26735343771213</v>
      </c>
      <c r="V97" s="81">
        <v>-280.72517595089585</v>
      </c>
      <c r="W97" s="81">
        <v>-338.61587139541757</v>
      </c>
      <c r="X97" s="81">
        <v>-396.26195162862996</v>
      </c>
      <c r="Y97" s="81">
        <v>-453.92107885342557</v>
      </c>
      <c r="Z97" s="81">
        <v>-511.79651533387903</v>
      </c>
      <c r="AA97" s="81">
        <v>-570.04604929762127</v>
      </c>
    </row>
    <row r="98" spans="5:27" x14ac:dyDescent="0.2">
      <c r="E98" s="117"/>
      <c r="F98" s="182">
        <v>3.25</v>
      </c>
      <c r="G98" s="162">
        <v>1138.0950131717659</v>
      </c>
      <c r="H98" s="162">
        <v>954.68909499305005</v>
      </c>
      <c r="I98" s="162">
        <v>795.61860721101846</v>
      </c>
      <c r="J98" s="162">
        <v>656.81484454146289</v>
      </c>
      <c r="K98" s="162">
        <v>534.81377516670887</v>
      </c>
      <c r="L98" s="162">
        <v>426.67179326569163</v>
      </c>
      <c r="M98" s="162">
        <v>329.89273999075363</v>
      </c>
      <c r="N98" s="81">
        <v>242.36472755661924</v>
      </c>
      <c r="O98" s="81">
        <v>162.30548776847093</v>
      </c>
      <c r="P98" s="81">
        <v>88.215129571202283</v>
      </c>
      <c r="Q98" s="81">
        <v>18.835332949534063</v>
      </c>
      <c r="R98" s="81">
        <v>-46.885868707858208</v>
      </c>
      <c r="S98" s="81">
        <v>-109.82445661657454</v>
      </c>
      <c r="T98" s="81">
        <v>-170.70658853898681</v>
      </c>
      <c r="U98" s="81">
        <v>-230.13111500823788</v>
      </c>
      <c r="V98" s="81">
        <v>-288.58893752142149</v>
      </c>
      <c r="W98" s="81">
        <v>-346.47963296594344</v>
      </c>
      <c r="X98" s="81">
        <v>-404.1257131991556</v>
      </c>
      <c r="Y98" s="81">
        <v>-461.78484042395144</v>
      </c>
      <c r="Z98" s="81">
        <v>-519.66027690440467</v>
      </c>
      <c r="AA98" s="81">
        <v>-577.90981086814713</v>
      </c>
    </row>
    <row r="99" spans="5:27" x14ac:dyDescent="0.2">
      <c r="F99" s="183">
        <v>3.5</v>
      </c>
      <c r="G99" s="181">
        <v>1130.5948126447861</v>
      </c>
      <c r="H99" s="181">
        <v>947.18889446607022</v>
      </c>
      <c r="I99" s="181">
        <v>788.11840668403863</v>
      </c>
      <c r="J99" s="181">
        <v>649.31464401448318</v>
      </c>
      <c r="K99" s="181">
        <v>527.31357463972904</v>
      </c>
      <c r="L99" s="181">
        <v>419.17159273871192</v>
      </c>
      <c r="M99" s="181">
        <v>322.39253946377386</v>
      </c>
      <c r="N99" s="181">
        <v>234.8645270296395</v>
      </c>
      <c r="O99" s="181">
        <v>154.80528724149121</v>
      </c>
      <c r="P99" s="181">
        <v>80.714929044222572</v>
      </c>
      <c r="Q99" s="181">
        <v>11.335132422554352</v>
      </c>
      <c r="R99" s="181">
        <v>-54.386069234837976</v>
      </c>
      <c r="S99" s="181">
        <v>-117.32465714355436</v>
      </c>
      <c r="T99" s="181">
        <v>-178.20678906596652</v>
      </c>
      <c r="U99" s="181">
        <v>-237.63131553521771</v>
      </c>
      <c r="V99" s="181">
        <v>-296.08913804840131</v>
      </c>
      <c r="W99" s="181">
        <v>-353.97983349292315</v>
      </c>
      <c r="X99" s="181">
        <v>-411.62591372613554</v>
      </c>
      <c r="Y99" s="181">
        <v>-469.28504095093126</v>
      </c>
      <c r="Z99" s="181">
        <v>-527.16047743138472</v>
      </c>
      <c r="AA99" s="181">
        <v>-585.41001139512696</v>
      </c>
    </row>
    <row r="100" spans="5:27" x14ac:dyDescent="0.2">
      <c r="F100" s="182">
        <v>3.75</v>
      </c>
      <c r="G100" s="181">
        <v>1123.4468142650048</v>
      </c>
      <c r="H100" s="181">
        <v>940.04089608628874</v>
      </c>
      <c r="I100" s="181">
        <v>780.97040830425726</v>
      </c>
      <c r="J100" s="181">
        <v>642.16664563470181</v>
      </c>
      <c r="K100" s="181">
        <v>520.16557625994778</v>
      </c>
      <c r="L100" s="181">
        <v>412.0235943589305</v>
      </c>
      <c r="M100" s="181">
        <v>315.24454108399243</v>
      </c>
      <c r="N100" s="181">
        <v>227.71652864985811</v>
      </c>
      <c r="O100" s="181">
        <v>147.65728886170979</v>
      </c>
      <c r="P100" s="181">
        <v>73.566930664441173</v>
      </c>
      <c r="Q100" s="181">
        <v>4.1871340427729251</v>
      </c>
      <c r="R100" s="181">
        <v>-61.534067614619403</v>
      </c>
      <c r="S100" s="181">
        <v>-124.47265552333573</v>
      </c>
      <c r="T100" s="181">
        <v>-185.354787445748</v>
      </c>
      <c r="U100" s="181">
        <v>-244.77931391499897</v>
      </c>
      <c r="V100" s="181">
        <v>-303.23713642818268</v>
      </c>
      <c r="W100" s="181">
        <v>-361.12783187270463</v>
      </c>
      <c r="X100" s="181">
        <v>-418.77391210591691</v>
      </c>
      <c r="Y100" s="181">
        <v>-476.43303933071263</v>
      </c>
      <c r="Z100" s="181">
        <v>-534.30847581116609</v>
      </c>
      <c r="AA100" s="181">
        <v>-592.55800977490821</v>
      </c>
    </row>
    <row r="101" spans="5:27" x14ac:dyDescent="0.2">
      <c r="F101" s="183">
        <v>4</v>
      </c>
      <c r="G101" s="81">
        <v>1116.6399673119504</v>
      </c>
      <c r="H101" s="81">
        <v>933.23404913323429</v>
      </c>
      <c r="I101" s="81">
        <v>774.16356135120259</v>
      </c>
      <c r="J101" s="81">
        <v>635.35979868164713</v>
      </c>
      <c r="K101" s="81">
        <v>513.35872930689311</v>
      </c>
      <c r="L101" s="81">
        <v>405.21674740587594</v>
      </c>
      <c r="M101" s="81">
        <v>308.43769413093787</v>
      </c>
      <c r="N101" s="81">
        <v>220.90968169680349</v>
      </c>
      <c r="O101" s="81">
        <v>140.85044190865514</v>
      </c>
      <c r="P101" s="81">
        <v>66.760083711386528</v>
      </c>
      <c r="Q101" s="81">
        <v>-2.6197129102816916</v>
      </c>
      <c r="R101" s="81">
        <v>-68.34091456767402</v>
      </c>
      <c r="S101" s="81">
        <v>-131.27950247639035</v>
      </c>
      <c r="T101" s="81">
        <v>-192.16163439880268</v>
      </c>
      <c r="U101" s="81">
        <v>-251.58616086805364</v>
      </c>
      <c r="V101" s="81">
        <v>-310.04398338123735</v>
      </c>
      <c r="W101" s="81">
        <v>-367.93467882575931</v>
      </c>
      <c r="X101" s="81">
        <v>-425.58075905897147</v>
      </c>
      <c r="Y101" s="81">
        <v>-483.23988628376719</v>
      </c>
      <c r="Z101" s="81">
        <v>-541.11532276422054</v>
      </c>
      <c r="AA101" s="81">
        <v>-599.36485672796277</v>
      </c>
    </row>
    <row r="102" spans="5:27" x14ac:dyDescent="0.2">
      <c r="F102" s="182">
        <v>4.25</v>
      </c>
      <c r="G102" s="81">
        <v>1110.1635214725575</v>
      </c>
      <c r="H102" s="81">
        <v>926.75760329384161</v>
      </c>
      <c r="I102" s="81">
        <v>767.68711551181013</v>
      </c>
      <c r="J102" s="81">
        <v>628.88335284225457</v>
      </c>
      <c r="K102" s="81">
        <v>506.88228346750054</v>
      </c>
      <c r="L102" s="81">
        <v>398.74030156648331</v>
      </c>
      <c r="M102" s="81">
        <v>301.9612482915453</v>
      </c>
      <c r="N102" s="81">
        <v>214.43323585741086</v>
      </c>
      <c r="O102" s="81">
        <v>134.37399606926255</v>
      </c>
      <c r="P102" s="81">
        <v>60.283637871993903</v>
      </c>
      <c r="Q102" s="81">
        <v>-9.0961587496742595</v>
      </c>
      <c r="R102" s="81">
        <v>-74.817360407066644</v>
      </c>
      <c r="S102" s="81">
        <v>-137.75594831578303</v>
      </c>
      <c r="T102" s="81">
        <v>-198.63808023819524</v>
      </c>
      <c r="U102" s="81">
        <v>-258.06260670744632</v>
      </c>
      <c r="V102" s="81">
        <v>-316.52042922062992</v>
      </c>
      <c r="W102" s="81">
        <v>-374.41112466515187</v>
      </c>
      <c r="X102" s="81">
        <v>-432.05720489836403</v>
      </c>
      <c r="Y102" s="81">
        <v>-489.71633212315965</v>
      </c>
      <c r="Z102" s="81">
        <v>-547.59176860361299</v>
      </c>
      <c r="AA102" s="81">
        <v>-605.84130256735534</v>
      </c>
    </row>
    <row r="103" spans="5:27" x14ac:dyDescent="0.2">
      <c r="F103" s="183">
        <v>4.5</v>
      </c>
      <c r="G103" s="81">
        <v>1104.0070192598691</v>
      </c>
      <c r="H103" s="81">
        <v>920.60110108115327</v>
      </c>
      <c r="I103" s="81">
        <v>761.53061329912168</v>
      </c>
      <c r="J103" s="81">
        <v>622.72685062956612</v>
      </c>
      <c r="K103" s="81">
        <v>500.72578125481209</v>
      </c>
      <c r="L103" s="81">
        <v>392.58379935379492</v>
      </c>
      <c r="M103" s="81">
        <v>295.80474607885691</v>
      </c>
      <c r="N103" s="81">
        <v>209.07203412789752</v>
      </c>
      <c r="O103" s="81">
        <v>133.61760443946017</v>
      </c>
      <c r="P103" s="81">
        <v>59.408021713826599</v>
      </c>
      <c r="Q103" s="81">
        <v>-13.819144426521348</v>
      </c>
      <c r="R103" s="81">
        <v>-80.973862619755039</v>
      </c>
      <c r="S103" s="81">
        <v>-143.91245052847131</v>
      </c>
      <c r="T103" s="81">
        <v>-204.79458245088358</v>
      </c>
      <c r="U103" s="81">
        <v>-264.21910892013466</v>
      </c>
      <c r="V103" s="81">
        <v>-322.67693143331826</v>
      </c>
      <c r="W103" s="81">
        <v>-380.56762687784021</v>
      </c>
      <c r="X103" s="81">
        <v>-438.21370711105249</v>
      </c>
      <c r="Y103" s="81">
        <v>-495.87283433584821</v>
      </c>
      <c r="Z103" s="81">
        <v>-553.74827081630167</v>
      </c>
      <c r="AA103" s="81">
        <v>-611.99780478004391</v>
      </c>
    </row>
    <row r="104" spans="5:27" x14ac:dyDescent="0.2">
      <c r="F104" s="182">
        <v>4.75</v>
      </c>
      <c r="G104" s="81">
        <v>1098.160288614532</v>
      </c>
      <c r="H104" s="81">
        <v>914.75437043581587</v>
      </c>
      <c r="I104" s="81">
        <v>755.68388265378439</v>
      </c>
      <c r="J104" s="81">
        <v>616.88011998422894</v>
      </c>
      <c r="K104" s="81">
        <v>494.8790506094748</v>
      </c>
      <c r="L104" s="81">
        <v>386.73706870845763</v>
      </c>
      <c r="M104" s="81">
        <v>289.95801543351956</v>
      </c>
      <c r="N104" s="81">
        <v>209.07203412789752</v>
      </c>
      <c r="O104" s="81">
        <v>133.61760443946017</v>
      </c>
      <c r="P104" s="81">
        <v>59.408021713826599</v>
      </c>
      <c r="Q104" s="81">
        <v>-13.819144426521348</v>
      </c>
      <c r="R104" s="81">
        <v>-86.283288087688788</v>
      </c>
      <c r="S104" s="81">
        <v>-149.75918117380866</v>
      </c>
      <c r="T104" s="81">
        <v>-210.64131309622098</v>
      </c>
      <c r="U104" s="81">
        <v>-270.06583956547195</v>
      </c>
      <c r="V104" s="81">
        <v>-328.52366207865555</v>
      </c>
      <c r="W104" s="81">
        <v>-386.4143575231775</v>
      </c>
      <c r="X104" s="81">
        <v>-444.06043775638977</v>
      </c>
      <c r="Y104" s="81">
        <v>-501.71956498118539</v>
      </c>
      <c r="Z104" s="81">
        <v>-559.59500146163873</v>
      </c>
      <c r="AA104" s="81">
        <v>-617.8445354253812</v>
      </c>
    </row>
    <row r="105" spans="5:27" x14ac:dyDescent="0.2">
      <c r="F105" s="183">
        <v>5</v>
      </c>
      <c r="G105" s="165">
        <v>1092.6134356848179</v>
      </c>
      <c r="H105" s="168">
        <v>909.20751750610202</v>
      </c>
      <c r="I105" s="165">
        <v>750.13702972407043</v>
      </c>
      <c r="J105" s="168">
        <v>611.33326705451498</v>
      </c>
      <c r="K105" s="165">
        <v>489.33219767976084</v>
      </c>
      <c r="L105" s="168">
        <v>381.19021577874372</v>
      </c>
      <c r="M105" s="165">
        <v>286.08412228261</v>
      </c>
      <c r="N105" s="168">
        <v>209.07203412789752</v>
      </c>
      <c r="O105" s="165">
        <v>133.61760443946017</v>
      </c>
      <c r="P105" s="168">
        <v>59.408021713826599</v>
      </c>
      <c r="Q105" s="165">
        <v>-13.819144426521348</v>
      </c>
      <c r="R105" s="168">
        <v>-86.283288087688788</v>
      </c>
      <c r="S105" s="165">
        <v>-155.30603410352256</v>
      </c>
      <c r="T105" s="168">
        <v>-216.18816602593483</v>
      </c>
      <c r="U105" s="165">
        <v>-275.61269249518591</v>
      </c>
      <c r="V105" s="168">
        <v>-334.07051500836951</v>
      </c>
      <c r="W105" s="165">
        <v>-391.96121045289135</v>
      </c>
      <c r="X105" s="168">
        <v>-449.60729068610351</v>
      </c>
      <c r="Y105" s="165">
        <v>-507.26641791089924</v>
      </c>
      <c r="Z105" s="168">
        <v>-565.14185439135269</v>
      </c>
      <c r="AA105" s="165">
        <v>-623.39138835509493</v>
      </c>
    </row>
    <row r="106" spans="5:27" x14ac:dyDescent="0.2">
      <c r="F106" s="182">
        <v>5.25</v>
      </c>
      <c r="G106" s="81">
        <v>1087.3568377809934</v>
      </c>
      <c r="H106" s="81">
        <v>903.95091960227762</v>
      </c>
      <c r="I106" s="81">
        <v>744.88043182024603</v>
      </c>
      <c r="J106" s="81">
        <v>606.07666915069058</v>
      </c>
      <c r="K106" s="81">
        <v>484.07559977593644</v>
      </c>
      <c r="L106" s="81">
        <v>375.93361787491926</v>
      </c>
      <c r="M106" s="81">
        <v>286.08412228261</v>
      </c>
      <c r="N106" s="81">
        <v>209.07203412789752</v>
      </c>
      <c r="O106" s="81">
        <v>133.61760443946017</v>
      </c>
      <c r="P106" s="81">
        <v>59.408021713826599</v>
      </c>
      <c r="Q106" s="81">
        <v>-13.819144426521348</v>
      </c>
      <c r="R106" s="81">
        <v>-86.283288087688788</v>
      </c>
      <c r="S106" s="81">
        <v>-158.16710053923924</v>
      </c>
      <c r="T106" s="81">
        <v>-221.44476392975935</v>
      </c>
      <c r="U106" s="81">
        <v>-280.8692903990102</v>
      </c>
      <c r="V106" s="81">
        <v>-339.32711291219391</v>
      </c>
      <c r="W106" s="81">
        <v>-397.21780835671586</v>
      </c>
      <c r="X106" s="81">
        <v>-454.86388858992802</v>
      </c>
      <c r="Y106" s="81">
        <v>-512.52301581472386</v>
      </c>
      <c r="Z106" s="81">
        <v>-570.39845229517709</v>
      </c>
      <c r="AA106" s="81">
        <v>-628.64798625891945</v>
      </c>
    </row>
    <row r="107" spans="5:27" x14ac:dyDescent="0.2">
      <c r="F107" s="183">
        <v>5.5</v>
      </c>
      <c r="G107" s="81">
        <v>1082.3811364999538</v>
      </c>
      <c r="H107" s="81">
        <v>898.97521832123778</v>
      </c>
      <c r="I107" s="81">
        <v>739.90473053920618</v>
      </c>
      <c r="J107" s="81">
        <v>601.10096786965073</v>
      </c>
      <c r="K107" s="81">
        <v>479.09989849489654</v>
      </c>
      <c r="L107" s="81">
        <v>370.95791659387936</v>
      </c>
      <c r="M107" s="81">
        <v>286.08412228261</v>
      </c>
      <c r="N107" s="81">
        <v>209.07203412789752</v>
      </c>
      <c r="O107" s="81">
        <v>133.61760443946017</v>
      </c>
      <c r="P107" s="81">
        <v>59.408021713826599</v>
      </c>
      <c r="Q107" s="81">
        <v>-13.819144426521348</v>
      </c>
      <c r="R107" s="81">
        <v>-86.283288087688788</v>
      </c>
      <c r="S107" s="81">
        <v>-158.16710053923924</v>
      </c>
      <c r="T107" s="81">
        <v>-226.42046521079908</v>
      </c>
      <c r="U107" s="81">
        <v>-285.84499168005016</v>
      </c>
      <c r="V107" s="81">
        <v>-344.30281419323387</v>
      </c>
      <c r="W107" s="81">
        <v>-402.19350963775582</v>
      </c>
      <c r="X107" s="81">
        <v>-459.8395898709681</v>
      </c>
      <c r="Y107" s="81">
        <v>-517.49871709576371</v>
      </c>
      <c r="Z107" s="81">
        <v>-575.37415357621717</v>
      </c>
      <c r="AA107" s="81">
        <v>-633.62368753995929</v>
      </c>
    </row>
    <row r="108" spans="5:27" x14ac:dyDescent="0.2">
      <c r="F108" s="182">
        <v>5.75</v>
      </c>
      <c r="G108" s="81">
        <v>1077.6772310161384</v>
      </c>
      <c r="H108" s="81">
        <v>894.27131283742244</v>
      </c>
      <c r="I108" s="81">
        <v>735.20082505539085</v>
      </c>
      <c r="J108" s="81">
        <v>596.3970623858354</v>
      </c>
      <c r="K108" s="81">
        <v>474.39599301108126</v>
      </c>
      <c r="L108" s="81">
        <v>366.25401111006408</v>
      </c>
      <c r="M108" s="81">
        <v>286.08412228261</v>
      </c>
      <c r="N108" s="81">
        <v>209.07203412789752</v>
      </c>
      <c r="O108" s="81">
        <v>133.61760443946017</v>
      </c>
      <c r="P108" s="81">
        <v>59.408021713826599</v>
      </c>
      <c r="Q108" s="81">
        <v>-13.819144426521348</v>
      </c>
      <c r="R108" s="81">
        <v>-86.283288087688788</v>
      </c>
      <c r="S108" s="81">
        <v>-158.16710053923924</v>
      </c>
      <c r="T108" s="81">
        <v>-229.6220264481916</v>
      </c>
      <c r="U108" s="81">
        <v>-290.54889716386538</v>
      </c>
      <c r="V108" s="81">
        <v>-349.00671967704909</v>
      </c>
      <c r="W108" s="81">
        <v>-406.89741512157104</v>
      </c>
      <c r="X108" s="81">
        <v>-464.5434953547832</v>
      </c>
      <c r="Y108" s="81">
        <v>-522.20262257957882</v>
      </c>
      <c r="Z108" s="81">
        <v>-580.07805906003227</v>
      </c>
      <c r="AA108" s="81">
        <v>-638.32759302377463</v>
      </c>
    </row>
    <row r="109" spans="5:27" x14ac:dyDescent="0.2">
      <c r="F109" s="183">
        <v>6</v>
      </c>
      <c r="G109" s="81">
        <v>1073.2362715348327</v>
      </c>
      <c r="H109" s="81">
        <v>889.83035335611669</v>
      </c>
      <c r="I109" s="81">
        <v>730.75986557408498</v>
      </c>
      <c r="J109" s="81">
        <v>591.95610290452953</v>
      </c>
      <c r="K109" s="81">
        <v>469.95503352977545</v>
      </c>
      <c r="L109" s="81">
        <v>365.02557189609979</v>
      </c>
      <c r="M109" s="81">
        <v>286.08412228261</v>
      </c>
      <c r="N109" s="81">
        <v>209.07203412789752</v>
      </c>
      <c r="O109" s="81">
        <v>133.61760443946017</v>
      </c>
      <c r="P109" s="81">
        <v>59.408021713826599</v>
      </c>
      <c r="Q109" s="81">
        <v>-13.819144426521348</v>
      </c>
      <c r="R109" s="81">
        <v>-86.283288087688788</v>
      </c>
      <c r="S109" s="81">
        <v>-158.16710053923924</v>
      </c>
      <c r="T109" s="81">
        <v>-229.6220264481916</v>
      </c>
      <c r="U109" s="81">
        <v>-294.98985664517136</v>
      </c>
      <c r="V109" s="81">
        <v>-353.44767915835484</v>
      </c>
      <c r="W109" s="81">
        <v>-411.3383746028768</v>
      </c>
      <c r="X109" s="81">
        <v>-468.98445483608907</v>
      </c>
      <c r="Y109" s="81">
        <v>-526.6435820608848</v>
      </c>
      <c r="Z109" s="81">
        <v>-584.51901854133826</v>
      </c>
      <c r="AA109" s="81">
        <v>-642.76855250508038</v>
      </c>
    </row>
    <row r="110" spans="5:27" x14ac:dyDescent="0.2">
      <c r="F110" s="182">
        <v>6.25</v>
      </c>
      <c r="G110" s="81">
        <v>1069.0496529040438</v>
      </c>
      <c r="H110" s="81">
        <v>885.64373472532782</v>
      </c>
      <c r="I110" s="81">
        <v>726.57324694329623</v>
      </c>
      <c r="J110" s="81">
        <v>587.76948427374077</v>
      </c>
      <c r="K110" s="81">
        <v>465.76841489898663</v>
      </c>
      <c r="L110" s="81">
        <v>365.02557189609979</v>
      </c>
      <c r="M110" s="81">
        <v>286.08412228261</v>
      </c>
      <c r="N110" s="81">
        <v>209.07203412789752</v>
      </c>
      <c r="O110" s="81">
        <v>133.61760443946017</v>
      </c>
      <c r="P110" s="81">
        <v>59.408021713826599</v>
      </c>
      <c r="Q110" s="81">
        <v>-13.819144426521348</v>
      </c>
      <c r="R110" s="81">
        <v>-86.283288087688788</v>
      </c>
      <c r="S110" s="81">
        <v>-158.16710053923924</v>
      </c>
      <c r="T110" s="81">
        <v>-229.6220264481916</v>
      </c>
      <c r="U110" s="81">
        <v>-299.17647527596012</v>
      </c>
      <c r="V110" s="81">
        <v>-357.63429778914383</v>
      </c>
      <c r="W110" s="81">
        <v>-415.52499323366567</v>
      </c>
      <c r="X110" s="81">
        <v>-473.17107346687771</v>
      </c>
      <c r="Y110" s="81">
        <v>-530.83020069167378</v>
      </c>
      <c r="Z110" s="81">
        <v>-588.7056371721269</v>
      </c>
      <c r="AA110" s="81">
        <v>-646.95517113586914</v>
      </c>
    </row>
    <row r="111" spans="5:27" x14ac:dyDescent="0.2">
      <c r="F111" s="183">
        <v>6.5</v>
      </c>
      <c r="G111" s="81">
        <v>1065.1090083812392</v>
      </c>
      <c r="H111" s="81">
        <v>881.7030902025233</v>
      </c>
      <c r="I111" s="81">
        <v>722.63260242049171</v>
      </c>
      <c r="J111" s="81">
        <v>583.82883975093637</v>
      </c>
      <c r="K111" s="81">
        <v>461.82777037618223</v>
      </c>
      <c r="L111" s="81">
        <v>365.02557189609979</v>
      </c>
      <c r="M111" s="81">
        <v>286.08412228261</v>
      </c>
      <c r="N111" s="81">
        <v>209.07203412789752</v>
      </c>
      <c r="O111" s="81">
        <v>133.61760443946017</v>
      </c>
      <c r="P111" s="81">
        <v>59.408021713826599</v>
      </c>
      <c r="Q111" s="81">
        <v>-13.819144426521348</v>
      </c>
      <c r="R111" s="81">
        <v>-86.283288087688788</v>
      </c>
      <c r="S111" s="81">
        <v>-158.16710053923924</v>
      </c>
      <c r="T111" s="81">
        <v>-229.6220264481916</v>
      </c>
      <c r="U111" s="81">
        <v>-300.77295977600318</v>
      </c>
      <c r="V111" s="81">
        <v>-361.57494231194812</v>
      </c>
      <c r="W111" s="81">
        <v>-419.46563775647007</v>
      </c>
      <c r="X111" s="81">
        <v>-477.11171798968235</v>
      </c>
      <c r="Y111" s="81">
        <v>-534.77084521447796</v>
      </c>
      <c r="Z111" s="81">
        <v>-592.64628169493153</v>
      </c>
      <c r="AA111" s="81">
        <v>-650.89581565867365</v>
      </c>
    </row>
    <row r="112" spans="5:27" x14ac:dyDescent="0.2">
      <c r="F112" s="182">
        <v>6.75</v>
      </c>
      <c r="G112" s="81">
        <v>1061.4062035513075</v>
      </c>
      <c r="H112" s="81">
        <v>878.00028537259141</v>
      </c>
      <c r="I112" s="81">
        <v>718.92979759055982</v>
      </c>
      <c r="J112" s="81">
        <v>580.12603492100436</v>
      </c>
      <c r="K112" s="81">
        <v>458.12496554625028</v>
      </c>
      <c r="L112" s="81">
        <v>365.02557189609979</v>
      </c>
      <c r="M112" s="81">
        <v>286.08412228261</v>
      </c>
      <c r="N112" s="81">
        <v>209.07203412789752</v>
      </c>
      <c r="O112" s="81">
        <v>133.61760443946017</v>
      </c>
      <c r="P112" s="81">
        <v>59.408021713826599</v>
      </c>
      <c r="Q112" s="81">
        <v>-13.819144426521348</v>
      </c>
      <c r="R112" s="81">
        <v>-86.283288087688788</v>
      </c>
      <c r="S112" s="81">
        <v>-158.16710053923924</v>
      </c>
      <c r="T112" s="81">
        <v>-229.6220264481916</v>
      </c>
      <c r="U112" s="81">
        <v>-300.77295977600318</v>
      </c>
      <c r="V112" s="81">
        <v>-365.27774714188013</v>
      </c>
      <c r="W112" s="81">
        <v>-423.16844258640197</v>
      </c>
      <c r="X112" s="81">
        <v>-480.81452281961435</v>
      </c>
      <c r="Y112" s="81">
        <v>-538.47365004440996</v>
      </c>
      <c r="Z112" s="81">
        <v>-596.34908652486354</v>
      </c>
      <c r="AA112" s="81">
        <v>-654.59862048860566</v>
      </c>
    </row>
    <row r="113" spans="2:27" x14ac:dyDescent="0.2">
      <c r="F113" s="183">
        <v>7</v>
      </c>
      <c r="G113" s="81">
        <v>1057.9333303921924</v>
      </c>
      <c r="H113" s="81">
        <v>874.52741221347651</v>
      </c>
      <c r="I113" s="81">
        <v>715.4569244314448</v>
      </c>
      <c r="J113" s="81">
        <v>576.65316176188935</v>
      </c>
      <c r="K113" s="81">
        <v>454.65209238713533</v>
      </c>
      <c r="L113" s="81">
        <v>365.02557189609979</v>
      </c>
      <c r="M113" s="81">
        <v>286.08412228261</v>
      </c>
      <c r="N113" s="81">
        <v>209.07203412789752</v>
      </c>
      <c r="O113" s="81">
        <v>133.61760443946017</v>
      </c>
      <c r="P113" s="81">
        <v>59.408021713826599</v>
      </c>
      <c r="Q113" s="81">
        <v>-13.819144426521348</v>
      </c>
      <c r="R113" s="81">
        <v>-86.283288087688788</v>
      </c>
      <c r="S113" s="81">
        <v>-158.16710053923924</v>
      </c>
      <c r="T113" s="81">
        <v>-229.6220264481916</v>
      </c>
      <c r="U113" s="81">
        <v>-300.77295977600318</v>
      </c>
      <c r="V113" s="81">
        <v>-368.75062030099502</v>
      </c>
      <c r="W113" s="81">
        <v>-426.64131574551686</v>
      </c>
      <c r="X113" s="81">
        <v>-484.28739597872914</v>
      </c>
      <c r="Y113" s="81">
        <v>-541.94652320352486</v>
      </c>
      <c r="Z113" s="81">
        <v>-599.82195968397832</v>
      </c>
      <c r="AA113" s="81">
        <v>-658.07149364772044</v>
      </c>
    </row>
    <row r="114" spans="2:27" x14ac:dyDescent="0.2">
      <c r="F114" s="182">
        <v>7.25</v>
      </c>
      <c r="G114" s="81">
        <v>1054.6827014847345</v>
      </c>
      <c r="H114" s="81">
        <v>871.27678330601873</v>
      </c>
      <c r="I114" s="81">
        <v>712.20629552398714</v>
      </c>
      <c r="J114" s="81">
        <v>573.40253285443168</v>
      </c>
      <c r="K114" s="81">
        <v>451.40146347967755</v>
      </c>
      <c r="L114" s="81">
        <v>365.02557189609979</v>
      </c>
      <c r="M114" s="81">
        <v>286.08412228261</v>
      </c>
      <c r="N114" s="81">
        <v>209.07203412789752</v>
      </c>
      <c r="O114" s="81">
        <v>133.61760443946017</v>
      </c>
      <c r="P114" s="81">
        <v>59.408021713826599</v>
      </c>
      <c r="Q114" s="81">
        <v>-13.819144426521348</v>
      </c>
      <c r="R114" s="81">
        <v>-86.283288087688788</v>
      </c>
      <c r="S114" s="81">
        <v>-158.16710053923924</v>
      </c>
      <c r="T114" s="81">
        <v>-229.6220264481916</v>
      </c>
      <c r="U114" s="81">
        <v>-300.77295977600318</v>
      </c>
      <c r="V114" s="81">
        <v>-371.72228104880617</v>
      </c>
      <c r="W114" s="81">
        <v>-429.89194465297476</v>
      </c>
      <c r="X114" s="81">
        <v>-487.53802488618703</v>
      </c>
      <c r="Y114" s="81">
        <v>-545.19715211098276</v>
      </c>
      <c r="Z114" s="81">
        <v>-603.07258859143599</v>
      </c>
      <c r="AA114" s="81">
        <v>-661.32212255517845</v>
      </c>
    </row>
    <row r="115" spans="2:27" x14ac:dyDescent="0.2">
      <c r="F115" s="183">
        <v>7.5</v>
      </c>
      <c r="G115" s="165">
        <v>1051.646844363325</v>
      </c>
      <c r="H115" s="168">
        <v>868.24092618460918</v>
      </c>
      <c r="I115" s="165">
        <v>709.17043840257759</v>
      </c>
      <c r="J115" s="168">
        <v>570.36667573302213</v>
      </c>
      <c r="K115" s="165">
        <v>448.36560635826805</v>
      </c>
      <c r="L115" s="168">
        <v>365.02557189609979</v>
      </c>
      <c r="M115" s="165">
        <v>286.08412228261</v>
      </c>
      <c r="N115" s="168">
        <v>209.07203412789752</v>
      </c>
      <c r="O115" s="165">
        <v>133.61760443946017</v>
      </c>
      <c r="P115" s="168">
        <v>59.408021713826599</v>
      </c>
      <c r="Q115" s="165">
        <v>-13.819144426521348</v>
      </c>
      <c r="R115" s="168">
        <v>-86.283288087688788</v>
      </c>
      <c r="S115" s="165">
        <v>-158.16710053923924</v>
      </c>
      <c r="T115" s="168">
        <v>-229.6220264481916</v>
      </c>
      <c r="U115" s="165">
        <v>-300.77295977600318</v>
      </c>
      <c r="V115" s="168">
        <v>-371.72228104880617</v>
      </c>
      <c r="W115" s="165">
        <v>-432.92780177438419</v>
      </c>
      <c r="X115" s="168">
        <v>-490.57388200759647</v>
      </c>
      <c r="Y115" s="165">
        <v>-548.23300923239208</v>
      </c>
      <c r="Z115" s="168">
        <v>-606.10844571284565</v>
      </c>
      <c r="AA115" s="165">
        <v>-664.35797967658777</v>
      </c>
    </row>
    <row r="116" spans="2:27" x14ac:dyDescent="0.2">
      <c r="F116" s="182">
        <v>7.75</v>
      </c>
      <c r="G116" s="81">
        <v>1048.8184960040633</v>
      </c>
      <c r="H116" s="81">
        <v>865.41257782534728</v>
      </c>
      <c r="I116" s="81">
        <v>706.34209004331569</v>
      </c>
      <c r="J116" s="81">
        <v>567.53832737376024</v>
      </c>
      <c r="K116" s="81">
        <v>446.3368301535312</v>
      </c>
      <c r="L116" s="81">
        <v>365.02557189609979</v>
      </c>
      <c r="M116" s="81">
        <v>286.08412228261</v>
      </c>
      <c r="N116" s="81">
        <v>209.07203412789752</v>
      </c>
      <c r="O116" s="81">
        <v>133.61760443946017</v>
      </c>
      <c r="P116" s="81">
        <v>59.408021713826599</v>
      </c>
      <c r="Q116" s="81">
        <v>-13.819144426521348</v>
      </c>
      <c r="R116" s="81">
        <v>-86.283288087688788</v>
      </c>
      <c r="S116" s="81">
        <v>-158.16710053923924</v>
      </c>
      <c r="T116" s="81">
        <v>-229.6220264481916</v>
      </c>
      <c r="U116" s="81">
        <v>-300.77295977600318</v>
      </c>
      <c r="V116" s="81">
        <v>-371.72228104880617</v>
      </c>
      <c r="W116" s="81">
        <v>-435.7561501336462</v>
      </c>
      <c r="X116" s="81">
        <v>-493.40223036685848</v>
      </c>
      <c r="Y116" s="81">
        <v>-551.06135759165397</v>
      </c>
      <c r="Z116" s="81">
        <v>-608.93679407210743</v>
      </c>
      <c r="AA116" s="81">
        <v>-667.18632803584978</v>
      </c>
    </row>
    <row r="117" spans="2:27" x14ac:dyDescent="0.2">
      <c r="F117" s="183">
        <v>8</v>
      </c>
      <c r="G117" s="81">
        <v>1046.1905974471817</v>
      </c>
      <c r="H117" s="81">
        <v>862.78467926846577</v>
      </c>
      <c r="I117" s="81">
        <v>703.71419148643417</v>
      </c>
      <c r="J117" s="81">
        <v>564.91042881687872</v>
      </c>
      <c r="K117" s="81">
        <v>446.3368301535312</v>
      </c>
      <c r="L117" s="81">
        <v>365.02557189609979</v>
      </c>
      <c r="M117" s="81">
        <v>286.08412228261</v>
      </c>
      <c r="N117" s="81">
        <v>209.07203412789752</v>
      </c>
      <c r="O117" s="81">
        <v>133.61760443946017</v>
      </c>
      <c r="P117" s="81">
        <v>59.408021713826599</v>
      </c>
      <c r="Q117" s="81">
        <v>-13.819144426521348</v>
      </c>
      <c r="R117" s="81">
        <v>-86.283288087688788</v>
      </c>
      <c r="S117" s="81">
        <v>-158.16710053923924</v>
      </c>
      <c r="T117" s="81">
        <v>-229.6220264481916</v>
      </c>
      <c r="U117" s="81">
        <v>-300.77295977600318</v>
      </c>
      <c r="V117" s="81">
        <v>-371.72228104880617</v>
      </c>
      <c r="W117" s="81">
        <v>-438.38404869052761</v>
      </c>
      <c r="X117" s="81">
        <v>-496.03012892373988</v>
      </c>
      <c r="Y117" s="81">
        <v>-553.68925614853561</v>
      </c>
      <c r="Z117" s="81">
        <v>-611.56469262898918</v>
      </c>
      <c r="AA117" s="81">
        <v>-669.81422659273142</v>
      </c>
    </row>
    <row r="118" spans="2:27" x14ac:dyDescent="0.2">
      <c r="F118" s="182">
        <v>8.25</v>
      </c>
      <c r="G118" s="81">
        <v>1043.756288550577</v>
      </c>
      <c r="H118" s="81">
        <v>860.35037037186112</v>
      </c>
      <c r="I118" s="81">
        <v>701.27988258982964</v>
      </c>
      <c r="J118" s="81">
        <v>562.47611992027419</v>
      </c>
      <c r="K118" s="81">
        <v>446.3368301535312</v>
      </c>
      <c r="L118" s="81">
        <v>365.02557189609979</v>
      </c>
      <c r="M118" s="81">
        <v>286.08412228261</v>
      </c>
      <c r="N118" s="81">
        <v>209.07203412789752</v>
      </c>
      <c r="O118" s="81">
        <v>133.61760443946017</v>
      </c>
      <c r="P118" s="81">
        <v>59.408021713826599</v>
      </c>
      <c r="Q118" s="81">
        <v>-13.819144426521348</v>
      </c>
      <c r="R118" s="81">
        <v>-86.283288087688788</v>
      </c>
      <c r="S118" s="81">
        <v>-158.16710053923924</v>
      </c>
      <c r="T118" s="81">
        <v>-229.6220264481916</v>
      </c>
      <c r="U118" s="81">
        <v>-300.77295977600318</v>
      </c>
      <c r="V118" s="81">
        <v>-371.72228104880617</v>
      </c>
      <c r="W118" s="81">
        <v>-440.81835758713225</v>
      </c>
      <c r="X118" s="81">
        <v>-498.46443782034453</v>
      </c>
      <c r="Y118" s="81">
        <v>-556.12356504514014</v>
      </c>
      <c r="Z118" s="81">
        <v>-613.99900152559371</v>
      </c>
      <c r="AA118" s="81">
        <v>-672.24853548933584</v>
      </c>
    </row>
    <row r="119" spans="2:27" x14ac:dyDescent="0.2">
      <c r="F119" s="183">
        <v>8.5</v>
      </c>
      <c r="G119" s="81">
        <v>1041.5089028713576</v>
      </c>
      <c r="H119" s="81">
        <v>858.10298469264171</v>
      </c>
      <c r="I119" s="81">
        <v>699.03249691061001</v>
      </c>
      <c r="J119" s="81">
        <v>560.22873424105455</v>
      </c>
      <c r="K119" s="81">
        <v>446.3368301535312</v>
      </c>
      <c r="L119" s="81">
        <v>365.02557189609979</v>
      </c>
      <c r="M119" s="81">
        <v>286.08412228261</v>
      </c>
      <c r="N119" s="81">
        <v>209.07203412789752</v>
      </c>
      <c r="O119" s="81">
        <v>133.61760443946017</v>
      </c>
      <c r="P119" s="81">
        <v>59.408021713826599</v>
      </c>
      <c r="Q119" s="81">
        <v>-13.819144426521348</v>
      </c>
      <c r="R119" s="81">
        <v>-86.283288087688788</v>
      </c>
      <c r="S119" s="81">
        <v>-158.16710053923924</v>
      </c>
      <c r="T119" s="81">
        <v>-229.6220264481916</v>
      </c>
      <c r="U119" s="81">
        <v>-300.77295977600318</v>
      </c>
      <c r="V119" s="81">
        <v>-371.72228104880617</v>
      </c>
      <c r="W119" s="81">
        <v>-442.55332448375998</v>
      </c>
      <c r="X119" s="81">
        <v>-500.71182349956405</v>
      </c>
      <c r="Y119" s="81">
        <v>-558.37095072435989</v>
      </c>
      <c r="Z119" s="81">
        <v>-616.24638720481289</v>
      </c>
      <c r="AA119" s="81">
        <v>-674.49592116855536</v>
      </c>
    </row>
    <row r="120" spans="2:27" x14ac:dyDescent="0.2">
      <c r="F120" s="182">
        <v>8.75</v>
      </c>
      <c r="G120" s="81">
        <v>1039.4419626723895</v>
      </c>
      <c r="H120" s="81">
        <v>856.03604449367356</v>
      </c>
      <c r="I120" s="81">
        <v>696.96555671164197</v>
      </c>
      <c r="J120" s="81">
        <v>558.16179404208651</v>
      </c>
      <c r="K120" s="81">
        <v>446.3368301535312</v>
      </c>
      <c r="L120" s="81">
        <v>365.02557189609979</v>
      </c>
      <c r="M120" s="81">
        <v>286.08412228261</v>
      </c>
      <c r="N120" s="81">
        <v>209.07203412789752</v>
      </c>
      <c r="O120" s="81">
        <v>133.61760443946017</v>
      </c>
      <c r="P120" s="81">
        <v>59.408021713826599</v>
      </c>
      <c r="Q120" s="81">
        <v>-13.819144426521348</v>
      </c>
      <c r="R120" s="81">
        <v>-86.283288087688788</v>
      </c>
      <c r="S120" s="81">
        <v>-158.16710053923924</v>
      </c>
      <c r="T120" s="81">
        <v>-229.6220264481916</v>
      </c>
      <c r="U120" s="81">
        <v>-300.77295977600318</v>
      </c>
      <c r="V120" s="81">
        <v>-371.72228104880617</v>
      </c>
      <c r="W120" s="81">
        <v>-442.55332448375998</v>
      </c>
      <c r="X120" s="81">
        <v>-502.7787636985322</v>
      </c>
      <c r="Y120" s="81">
        <v>-560.43789092332793</v>
      </c>
      <c r="Z120" s="81">
        <v>-618.31332740378139</v>
      </c>
      <c r="AA120" s="81">
        <v>-676.56286136752351</v>
      </c>
    </row>
    <row r="121" spans="2:27" x14ac:dyDescent="0.2">
      <c r="F121" s="183">
        <v>9</v>
      </c>
      <c r="G121" s="81">
        <v>1037.5491740508942</v>
      </c>
      <c r="H121" s="81">
        <v>854.14325587217843</v>
      </c>
      <c r="I121" s="81">
        <v>695.07276809014684</v>
      </c>
      <c r="J121" s="81">
        <v>556.26900542059138</v>
      </c>
      <c r="K121" s="81">
        <v>446.3368301535312</v>
      </c>
      <c r="L121" s="81">
        <v>365.02557189609979</v>
      </c>
      <c r="M121" s="81">
        <v>286.08412228261</v>
      </c>
      <c r="N121" s="81">
        <v>209.07203412789752</v>
      </c>
      <c r="O121" s="81">
        <v>133.61760443946017</v>
      </c>
      <c r="P121" s="81">
        <v>59.408021713826599</v>
      </c>
      <c r="Q121" s="81">
        <v>-13.819144426521348</v>
      </c>
      <c r="R121" s="81">
        <v>-86.283288087688788</v>
      </c>
      <c r="S121" s="81">
        <v>-158.16710053923924</v>
      </c>
      <c r="T121" s="81">
        <v>-229.6220264481916</v>
      </c>
      <c r="U121" s="81">
        <v>-300.77295977600318</v>
      </c>
      <c r="V121" s="81">
        <v>-371.72228104880617</v>
      </c>
      <c r="W121" s="81">
        <v>-442.55332448375998</v>
      </c>
      <c r="X121" s="81">
        <v>-504.67155232002733</v>
      </c>
      <c r="Y121" s="81">
        <v>-562.33067954482306</v>
      </c>
      <c r="Z121" s="81">
        <v>-620.20611602527651</v>
      </c>
      <c r="AA121" s="81">
        <v>-678.45564998901864</v>
      </c>
    </row>
    <row r="122" spans="2:27" x14ac:dyDescent="0.2">
      <c r="F122" s="182">
        <v>9.25</v>
      </c>
      <c r="G122" s="81">
        <v>1035.8244221862174</v>
      </c>
      <c r="H122" s="81">
        <v>852.41850400750138</v>
      </c>
      <c r="I122" s="81">
        <v>693.34801622546979</v>
      </c>
      <c r="J122" s="81">
        <v>554.54425355591434</v>
      </c>
      <c r="K122" s="81">
        <v>446.3368301535312</v>
      </c>
      <c r="L122" s="81">
        <v>365.02557189609979</v>
      </c>
      <c r="M122" s="81">
        <v>286.08412228261</v>
      </c>
      <c r="N122" s="81">
        <v>209.07203412789752</v>
      </c>
      <c r="O122" s="81">
        <v>133.61760443946017</v>
      </c>
      <c r="P122" s="81">
        <v>59.408021713826599</v>
      </c>
      <c r="Q122" s="81">
        <v>-13.819144426521348</v>
      </c>
      <c r="R122" s="81">
        <v>-86.283288087688788</v>
      </c>
      <c r="S122" s="81">
        <v>-158.16710053923924</v>
      </c>
      <c r="T122" s="81">
        <v>-229.6220264481916</v>
      </c>
      <c r="U122" s="81">
        <v>-300.77295977600318</v>
      </c>
      <c r="V122" s="81">
        <v>-371.72228104880617</v>
      </c>
      <c r="W122" s="81">
        <v>-442.55332448375998</v>
      </c>
      <c r="X122" s="81">
        <v>-506.39630418470438</v>
      </c>
      <c r="Y122" s="81">
        <v>-564.05543140949999</v>
      </c>
      <c r="Z122" s="81">
        <v>-621.93086788995333</v>
      </c>
      <c r="AA122" s="81">
        <v>-680.18040185369568</v>
      </c>
    </row>
    <row r="123" spans="2:27" x14ac:dyDescent="0.2">
      <c r="F123" s="183">
        <v>9.5</v>
      </c>
      <c r="G123" s="81">
        <v>1034.2617667039494</v>
      </c>
      <c r="H123" s="81">
        <v>850.85584852523368</v>
      </c>
      <c r="I123" s="81">
        <v>691.78536074320209</v>
      </c>
      <c r="J123" s="81">
        <v>552.98159807364664</v>
      </c>
      <c r="K123" s="81">
        <v>446.3368301535312</v>
      </c>
      <c r="L123" s="81">
        <v>365.02557189609979</v>
      </c>
      <c r="M123" s="81">
        <v>286.08412228261</v>
      </c>
      <c r="N123" s="81">
        <v>209.07203412789752</v>
      </c>
      <c r="O123" s="81">
        <v>133.61760443946017</v>
      </c>
      <c r="P123" s="81">
        <v>59.408021713826599</v>
      </c>
      <c r="Q123" s="81">
        <v>-13.819144426521348</v>
      </c>
      <c r="R123" s="81">
        <v>-86.283288087688788</v>
      </c>
      <c r="S123" s="81">
        <v>-158.16710053923924</v>
      </c>
      <c r="T123" s="81">
        <v>-229.6220264481916</v>
      </c>
      <c r="U123" s="81">
        <v>-300.77295977600318</v>
      </c>
      <c r="V123" s="81">
        <v>-371.72228104880617</v>
      </c>
      <c r="W123" s="81">
        <v>-442.55332448375998</v>
      </c>
      <c r="X123" s="81">
        <v>-507.95895966697208</v>
      </c>
      <c r="Y123" s="81">
        <v>-565.61808689176769</v>
      </c>
      <c r="Z123" s="81">
        <v>-623.49352337222115</v>
      </c>
      <c r="AA123" s="81">
        <v>-681.74305733596327</v>
      </c>
    </row>
    <row r="124" spans="2:27" x14ac:dyDescent="0.2">
      <c r="F124" s="182">
        <v>9.75</v>
      </c>
      <c r="G124" s="81">
        <v>1032.8554371536595</v>
      </c>
      <c r="H124" s="81">
        <v>849.44951897494366</v>
      </c>
      <c r="I124" s="81">
        <v>690.37903119291207</v>
      </c>
      <c r="J124" s="81">
        <v>551.57526852335661</v>
      </c>
      <c r="K124" s="81">
        <v>446.3368301535312</v>
      </c>
      <c r="L124" s="81">
        <v>365.02557189609979</v>
      </c>
      <c r="M124" s="81">
        <v>286.08412228261</v>
      </c>
      <c r="N124" s="81">
        <v>209.07203412789752</v>
      </c>
      <c r="O124" s="81">
        <v>133.61760443946017</v>
      </c>
      <c r="P124" s="81">
        <v>59.408021713826599</v>
      </c>
      <c r="Q124" s="81">
        <v>-13.819144426521348</v>
      </c>
      <c r="R124" s="81">
        <v>-86.283288087688788</v>
      </c>
      <c r="S124" s="81">
        <v>-158.16710053923924</v>
      </c>
      <c r="T124" s="81">
        <v>-229.6220264481916</v>
      </c>
      <c r="U124" s="81">
        <v>-300.77295977600318</v>
      </c>
      <c r="V124" s="81">
        <v>-371.72228104880617</v>
      </c>
      <c r="W124" s="81">
        <v>-442.55332448375998</v>
      </c>
      <c r="X124" s="81">
        <v>-509.3652892172621</v>
      </c>
      <c r="Y124" s="81">
        <v>-567.02441644205771</v>
      </c>
      <c r="Z124" s="81">
        <v>-624.89985292251129</v>
      </c>
      <c r="AA124" s="81">
        <v>-683.14938688625341</v>
      </c>
    </row>
    <row r="125" spans="2:27" x14ac:dyDescent="0.2">
      <c r="F125" s="183">
        <v>10</v>
      </c>
      <c r="G125" s="165">
        <v>1031.5998285975434</v>
      </c>
      <c r="H125" s="168">
        <v>848.1939104188275</v>
      </c>
      <c r="I125" s="165">
        <v>689.12342263679591</v>
      </c>
      <c r="J125" s="168">
        <v>550.31965996724045</v>
      </c>
      <c r="K125" s="165">
        <v>446.3368301535312</v>
      </c>
      <c r="L125" s="168">
        <v>365.02557189609979</v>
      </c>
      <c r="M125" s="165">
        <v>286.08412228261</v>
      </c>
      <c r="N125" s="168">
        <v>209.07203412789752</v>
      </c>
      <c r="O125" s="165">
        <v>133.61760443946017</v>
      </c>
      <c r="P125" s="168">
        <v>59.408021713826599</v>
      </c>
      <c r="Q125" s="165">
        <v>-13.819144426521348</v>
      </c>
      <c r="R125" s="168">
        <v>-86.283288087688788</v>
      </c>
      <c r="S125" s="165">
        <v>-158.16710053923924</v>
      </c>
      <c r="T125" s="168">
        <v>-229.6220264481916</v>
      </c>
      <c r="U125" s="165">
        <v>-300.77295977600318</v>
      </c>
      <c r="V125" s="168">
        <v>-371.72228104880617</v>
      </c>
      <c r="W125" s="165">
        <v>-442.55332448375998</v>
      </c>
      <c r="X125" s="168">
        <v>-510.62089777337803</v>
      </c>
      <c r="Y125" s="165">
        <v>-568.28002499817376</v>
      </c>
      <c r="Z125" s="168">
        <v>-626.1554614786271</v>
      </c>
      <c r="AA125" s="165">
        <v>-684.40499544236945</v>
      </c>
    </row>
    <row r="127" spans="2:27" x14ac:dyDescent="0.2">
      <c r="C127" t="str">
        <f>"Energy bills vs battery capacity for different PV capacity (star rating = "&amp;B6&amp;")"</f>
        <v>Energy bills vs battery capacity for different PV capacity (star rating = 7.5)</v>
      </c>
    </row>
    <row r="128" spans="2:27" x14ac:dyDescent="0.2">
      <c r="B128" s="6"/>
      <c r="C128" s="38" t="s">
        <v>105</v>
      </c>
      <c r="D128" s="38" t="s">
        <v>210</v>
      </c>
      <c r="E128" s="38" t="s">
        <v>211</v>
      </c>
      <c r="F128" s="38" t="s">
        <v>92</v>
      </c>
      <c r="G128" s="38" t="s">
        <v>93</v>
      </c>
      <c r="H128" s="38" t="s">
        <v>94</v>
      </c>
      <c r="I128" s="39" t="s">
        <v>95</v>
      </c>
      <c r="J128" s="82"/>
    </row>
    <row r="129" spans="1:9" x14ac:dyDescent="0.2">
      <c r="A129" s="273" t="s">
        <v>226</v>
      </c>
      <c r="B129" s="49">
        <f>F63</f>
        <v>0</v>
      </c>
      <c r="C129" s="6">
        <f>G85</f>
        <v>1273.2733695564407</v>
      </c>
      <c r="D129" s="6">
        <f>I85</f>
        <v>930.79696359569311</v>
      </c>
      <c r="E129" s="6">
        <f>K85</f>
        <v>669.99213155138352</v>
      </c>
      <c r="F129" s="6">
        <f>M85</f>
        <v>465.07109637542828</v>
      </c>
      <c r="G129" s="6">
        <f>O85</f>
        <v>297.48384415314558</v>
      </c>
      <c r="H129" s="6">
        <f>Q85</f>
        <v>154.01368933420878</v>
      </c>
      <c r="I129" s="6">
        <f>S85</f>
        <v>25.353899768100007</v>
      </c>
    </row>
    <row r="130" spans="1:9" x14ac:dyDescent="0.2">
      <c r="A130" s="273"/>
      <c r="B130" s="49">
        <v>1</v>
      </c>
      <c r="C130" s="6">
        <f>G89</f>
        <v>1223.4283199672768</v>
      </c>
      <c r="D130" s="6">
        <f>I89</f>
        <v>880.95191400652925</v>
      </c>
      <c r="E130" s="6">
        <f>K89</f>
        <v>620.14708196221977</v>
      </c>
      <c r="F130" s="6">
        <f>M89</f>
        <v>415.22604678626459</v>
      </c>
      <c r="G130" s="6">
        <f>O89</f>
        <v>247.63879456398192</v>
      </c>
      <c r="H130" s="6">
        <f>Q89</f>
        <v>104.16863974504503</v>
      </c>
      <c r="I130" s="6">
        <f>S89</f>
        <v>-24.49114982106363</v>
      </c>
    </row>
    <row r="131" spans="1:9" x14ac:dyDescent="0.2">
      <c r="A131" s="273"/>
      <c r="B131" s="49">
        <v>2</v>
      </c>
      <c r="C131" s="6">
        <f>G93</f>
        <v>1181.2878468409208</v>
      </c>
      <c r="D131" s="6">
        <f>I93</f>
        <v>838.81144088017345</v>
      </c>
      <c r="E131" s="6">
        <f>K93</f>
        <v>578.00660883586397</v>
      </c>
      <c r="F131" s="6">
        <f>M93</f>
        <v>373.08557365990862</v>
      </c>
      <c r="G131" s="6">
        <f>O93</f>
        <v>205.49832143762595</v>
      </c>
      <c r="H131" s="6">
        <f>Q93</f>
        <v>62.02816661868917</v>
      </c>
      <c r="I131" s="6">
        <f>S93</f>
        <v>-66.631622947419601</v>
      </c>
    </row>
    <row r="132" spans="1:9" x14ac:dyDescent="0.2">
      <c r="A132" s="273"/>
      <c r="B132" s="49">
        <v>4</v>
      </c>
      <c r="C132" s="6">
        <f>G101</f>
        <v>1116.6399673119504</v>
      </c>
      <c r="D132" s="6">
        <f>I101</f>
        <v>774.16356135120259</v>
      </c>
      <c r="E132" s="6">
        <f>K101</f>
        <v>513.35872930689311</v>
      </c>
      <c r="F132" s="6">
        <f>M101</f>
        <v>308.43769413093787</v>
      </c>
      <c r="G132" s="6">
        <f>O101</f>
        <v>140.85044190865514</v>
      </c>
      <c r="H132" s="6">
        <f>Q101</f>
        <v>-2.6197129102816916</v>
      </c>
      <c r="I132" s="6">
        <f>S101</f>
        <v>-131.27950247639035</v>
      </c>
    </row>
    <row r="133" spans="1:9" x14ac:dyDescent="0.2">
      <c r="A133" s="273"/>
      <c r="B133" s="49">
        <v>6</v>
      </c>
      <c r="C133" s="6">
        <f>G109</f>
        <v>1073.2362715348327</v>
      </c>
      <c r="D133" s="6">
        <f>I109</f>
        <v>730.75986557408498</v>
      </c>
      <c r="E133" s="6">
        <f>K109</f>
        <v>469.95503352977545</v>
      </c>
      <c r="F133" s="6">
        <f>M109</f>
        <v>286.08412228261</v>
      </c>
      <c r="G133" s="6">
        <f>O109</f>
        <v>133.61760443946017</v>
      </c>
      <c r="H133" s="6">
        <f>Q109</f>
        <v>-13.819144426521348</v>
      </c>
      <c r="I133" s="6">
        <f>S109</f>
        <v>-158.16710053923924</v>
      </c>
    </row>
    <row r="134" spans="1:9" x14ac:dyDescent="0.2">
      <c r="A134" s="273"/>
      <c r="B134" s="49">
        <v>8</v>
      </c>
      <c r="C134" s="6">
        <f>G117</f>
        <v>1046.1905974471817</v>
      </c>
      <c r="D134" s="6">
        <f>I117</f>
        <v>703.71419148643417</v>
      </c>
      <c r="E134" s="6">
        <f>K117</f>
        <v>446.3368301535312</v>
      </c>
      <c r="F134" s="6">
        <f>M117</f>
        <v>286.08412228261</v>
      </c>
      <c r="G134" s="6">
        <f>O117</f>
        <v>133.61760443946017</v>
      </c>
      <c r="H134" s="6">
        <f>Q117</f>
        <v>-13.819144426521348</v>
      </c>
      <c r="I134" s="6">
        <f>S117</f>
        <v>-158.16710053923924</v>
      </c>
    </row>
    <row r="135" spans="1:9" x14ac:dyDescent="0.2">
      <c r="A135" s="273"/>
      <c r="B135" s="201">
        <v>10</v>
      </c>
      <c r="C135" s="184">
        <f>G125</f>
        <v>1031.5998285975434</v>
      </c>
      <c r="D135" s="184">
        <f>I125</f>
        <v>689.12342263679591</v>
      </c>
      <c r="E135" s="184">
        <f>K125</f>
        <v>446.3368301535312</v>
      </c>
      <c r="F135" s="184">
        <f>M125</f>
        <v>286.08412228261</v>
      </c>
      <c r="G135" s="184">
        <f>O125</f>
        <v>133.61760443946017</v>
      </c>
      <c r="H135" s="184">
        <f>Q125</f>
        <v>-13.819144426521348</v>
      </c>
      <c r="I135" s="184">
        <f>S125</f>
        <v>-158.16710053923924</v>
      </c>
    </row>
    <row r="137" spans="1:9" x14ac:dyDescent="0.2">
      <c r="B137" t="s">
        <v>229</v>
      </c>
      <c r="C137" s="6">
        <f>C129-C135</f>
        <v>241.67354095889732</v>
      </c>
      <c r="D137" s="6">
        <f t="shared" ref="D137:I137" si="0">D129-D135</f>
        <v>241.67354095889721</v>
      </c>
      <c r="E137" s="6">
        <f t="shared" si="0"/>
        <v>223.65530139785233</v>
      </c>
      <c r="F137" s="6">
        <f t="shared" si="0"/>
        <v>178.98697409281829</v>
      </c>
      <c r="G137" s="6">
        <f t="shared" si="0"/>
        <v>163.86623971368542</v>
      </c>
      <c r="H137" s="6">
        <f t="shared" si="0"/>
        <v>167.83283376073013</v>
      </c>
      <c r="I137" s="6">
        <f t="shared" si="0"/>
        <v>183.52100030733925</v>
      </c>
    </row>
  </sheetData>
  <mergeCells count="6">
    <mergeCell ref="C5:C7"/>
    <mergeCell ref="E85:E86"/>
    <mergeCell ref="A71:A75"/>
    <mergeCell ref="C8:C11"/>
    <mergeCell ref="A129:A135"/>
    <mergeCell ref="C13:C24"/>
  </mergeCells>
  <conditionalFormatting sqref="B13">
    <cfRule type="expression" dxfId="5" priority="7">
      <formula>B13="NO"</formula>
    </cfRule>
    <cfRule type="expression" dxfId="4" priority="8">
      <formula>IF(B13="YES",1,0)</formula>
    </cfRule>
  </conditionalFormatting>
  <conditionalFormatting sqref="G5:M18">
    <cfRule type="colorScale" priority="6">
      <colorScale>
        <cfvo type="min"/>
        <cfvo type="percentile" val="50"/>
        <cfvo type="max"/>
        <color rgb="FF63BE7B"/>
        <color rgb="FFFFEB84"/>
        <color rgb="FFF8696B"/>
      </colorScale>
    </cfRule>
  </conditionalFormatting>
  <conditionalFormatting sqref="G5:AA45">
    <cfRule type="colorScale" priority="5">
      <colorScale>
        <cfvo type="min"/>
        <cfvo type="percentile" val="50"/>
        <cfvo type="max"/>
        <color rgb="FF63BE7B"/>
        <color rgb="FFFFEB84"/>
        <color rgb="FFF8696B"/>
      </colorScale>
    </cfRule>
  </conditionalFormatting>
  <conditionalFormatting sqref="G85:M98">
    <cfRule type="colorScale" priority="4">
      <colorScale>
        <cfvo type="min"/>
        <cfvo type="percentile" val="50"/>
        <cfvo type="max"/>
        <color rgb="FF63BE7B"/>
        <color rgb="FFFFEB84"/>
        <color rgb="FFF8696B"/>
      </colorScale>
    </cfRule>
  </conditionalFormatting>
  <conditionalFormatting sqref="G85:AA125">
    <cfRule type="colorScale" priority="3">
      <colorScale>
        <cfvo type="min"/>
        <cfvo type="percentile" val="50"/>
        <cfvo type="max"/>
        <color rgb="FF63BE7B"/>
        <color rgb="FFFFEB84"/>
        <color rgb="FFF8696B"/>
      </colorScale>
    </cfRule>
  </conditionalFormatting>
  <conditionalFormatting sqref="B22">
    <cfRule type="expression" dxfId="3" priority="1">
      <formula>B22="NO"</formula>
    </cfRule>
    <cfRule type="expression" dxfId="2" priority="2">
      <formula>IF(B22="YES",1,0)</formula>
    </cfRule>
  </conditionalFormatting>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Roman,Regular"&amp;12&amp;A</oddHeader>
    <oddFooter>&amp;C&amp;"Times New Roman,Regular"&amp;12Page &amp;P</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'Heating and cooling'!$A$36:$A$38</xm:f>
          </x14:formula1>
          <xm:sqref>B10</xm:sqref>
        </x14:dataValidation>
        <x14:dataValidation type="list" allowBlank="1" showInputMessage="1" showErrorMessage="1" xr:uid="{1DC4CA66-3665-4BC7-8BE5-6C686F516A94}">
          <x14:formula1>
            <xm:f>'Common Assumptions'!$A$66:$A$74</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4"/>
  <sheetViews>
    <sheetView tabSelected="1" topLeftCell="A58" zoomScale="110" zoomScaleNormal="110" workbookViewId="0">
      <selection activeCell="C86" sqref="C86"/>
    </sheetView>
  </sheetViews>
  <sheetFormatPr defaultRowHeight="12.75" x14ac:dyDescent="0.2"/>
  <cols>
    <col min="1" max="1" width="35.5703125" customWidth="1"/>
    <col min="2" max="2" width="14.85546875" customWidth="1"/>
    <col min="3" max="3" width="20.5703125" style="10" customWidth="1"/>
    <col min="4" max="4" width="22.28515625" customWidth="1"/>
    <col min="5" max="5" width="11.42578125" customWidth="1"/>
    <col min="6" max="6" width="15.140625" customWidth="1"/>
    <col min="7" max="1025" width="11.42578125" customWidth="1"/>
  </cols>
  <sheetData>
    <row r="1" spans="1:3" x14ac:dyDescent="0.2">
      <c r="A1" s="4" t="s">
        <v>98</v>
      </c>
    </row>
    <row r="2" spans="1:3" x14ac:dyDescent="0.2">
      <c r="A2" s="55" t="s">
        <v>314</v>
      </c>
    </row>
    <row r="3" spans="1:3" x14ac:dyDescent="0.2">
      <c r="A3" s="55"/>
    </row>
    <row r="4" spans="1:3" x14ac:dyDescent="0.2">
      <c r="A4" t="s">
        <v>11</v>
      </c>
      <c r="B4" s="11">
        <v>0.9</v>
      </c>
      <c r="C4" s="10" t="s">
        <v>136</v>
      </c>
    </row>
    <row r="5" spans="1:3" x14ac:dyDescent="0.2">
      <c r="A5" t="s">
        <v>12</v>
      </c>
      <c r="B5" s="12">
        <v>0.3</v>
      </c>
      <c r="C5" s="10" t="s">
        <v>136</v>
      </c>
    </row>
    <row r="6" spans="1:3" x14ac:dyDescent="0.2">
      <c r="A6" t="s">
        <v>13</v>
      </c>
      <c r="B6" s="12">
        <v>0.113</v>
      </c>
      <c r="C6" s="10" t="s">
        <v>14</v>
      </c>
    </row>
    <row r="7" spans="1:3" x14ac:dyDescent="0.2">
      <c r="A7" t="s">
        <v>308</v>
      </c>
      <c r="B7" s="310">
        <v>0</v>
      </c>
    </row>
    <row r="8" spans="1:3" x14ac:dyDescent="0.2">
      <c r="A8" t="s">
        <v>99</v>
      </c>
      <c r="B8" s="5">
        <v>5.75</v>
      </c>
    </row>
    <row r="9" spans="1:3" x14ac:dyDescent="0.2">
      <c r="A9" t="s">
        <v>22</v>
      </c>
      <c r="B9" s="15">
        <v>18</v>
      </c>
    </row>
    <row r="10" spans="1:3" x14ac:dyDescent="0.2">
      <c r="A10" t="s">
        <v>23</v>
      </c>
      <c r="B10" s="5">
        <v>1.5</v>
      </c>
    </row>
    <row r="11" spans="1:3" x14ac:dyDescent="0.2">
      <c r="B11" s="80"/>
    </row>
    <row r="12" spans="1:3" x14ac:dyDescent="0.2">
      <c r="A12" s="46" t="s">
        <v>183</v>
      </c>
      <c r="B12" s="74"/>
    </row>
    <row r="13" spans="1:3" x14ac:dyDescent="0.2">
      <c r="A13" t="s">
        <v>302</v>
      </c>
      <c r="B13" s="311">
        <f>COS(RADIANS(B7))</f>
        <v>1</v>
      </c>
    </row>
    <row r="14" spans="1:3" x14ac:dyDescent="0.2">
      <c r="A14" t="s">
        <v>305</v>
      </c>
      <c r="B14" s="74">
        <f>MATCH('Reference case'!B4,A66:A74,0)</f>
        <v>2</v>
      </c>
    </row>
    <row r="15" spans="1:3" x14ac:dyDescent="0.2">
      <c r="A15" t="s">
        <v>15</v>
      </c>
      <c r="B15" s="13">
        <f>1-B16</f>
        <v>0.44616475812748868</v>
      </c>
      <c r="C15" s="35"/>
    </row>
    <row r="16" spans="1:3" x14ac:dyDescent="0.2">
      <c r="A16" t="s">
        <v>16</v>
      </c>
      <c r="B16" s="13">
        <f>PV!B5</f>
        <v>0.55383524187251132</v>
      </c>
    </row>
    <row r="17" spans="1:4" x14ac:dyDescent="0.2">
      <c r="A17" t="s">
        <v>17</v>
      </c>
      <c r="B17" s="79">
        <f>LOOKUP($B$14,B66:B74,D66:D74)</f>
        <v>8.5</v>
      </c>
    </row>
    <row r="18" spans="1:4" x14ac:dyDescent="0.2">
      <c r="A18" t="s">
        <v>141</v>
      </c>
      <c r="B18" s="86">
        <f>LOOKUP($B$14,B66:B74,C66:C74)</f>
        <v>0.15</v>
      </c>
    </row>
    <row r="19" spans="1:4" x14ac:dyDescent="0.2">
      <c r="A19" t="s">
        <v>18</v>
      </c>
      <c r="B19" s="14">
        <f>LOOKUP($B$14,B66:B74,E66:E74)</f>
        <v>2.4</v>
      </c>
    </row>
    <row r="20" spans="1:4" x14ac:dyDescent="0.2">
      <c r="A20" t="s">
        <v>19</v>
      </c>
      <c r="B20" s="14">
        <f>LOOKUP($B$14,B66:B74,F66:F74)</f>
        <v>6.9</v>
      </c>
    </row>
    <row r="21" spans="1:4" x14ac:dyDescent="0.2">
      <c r="A21" t="s">
        <v>20</v>
      </c>
      <c r="B21" s="80">
        <f>LOOKUP($B$14,B66:B74,G66:G74)</f>
        <v>200</v>
      </c>
    </row>
    <row r="22" spans="1:4" x14ac:dyDescent="0.2">
      <c r="A22" t="s">
        <v>21</v>
      </c>
      <c r="B22" s="80">
        <f>LOOKUP($B$14,B66:B74,H66:H74)</f>
        <v>60</v>
      </c>
    </row>
    <row r="23" spans="1:4" x14ac:dyDescent="0.2">
      <c r="A23" t="s">
        <v>220</v>
      </c>
      <c r="B23" s="21">
        <f>Floor_area/200</f>
        <v>0.67</v>
      </c>
    </row>
    <row r="24" spans="1:4" x14ac:dyDescent="0.2">
      <c r="A24" t="s">
        <v>106</v>
      </c>
      <c r="B24" s="148">
        <f>'Reference case'!B11</f>
        <v>134</v>
      </c>
    </row>
    <row r="26" spans="1:4" x14ac:dyDescent="0.2">
      <c r="A26" s="58" t="s">
        <v>24</v>
      </c>
      <c r="B26" s="59"/>
      <c r="C26" s="60"/>
      <c r="D26" s="52"/>
    </row>
    <row r="27" spans="1:4" ht="15" customHeight="1" x14ac:dyDescent="0.2">
      <c r="A27" s="61" t="s">
        <v>181</v>
      </c>
      <c r="B27" s="145">
        <f>'SC-rate function'!C4</f>
        <v>2.93</v>
      </c>
      <c r="C27" s="277" t="s">
        <v>303</v>
      </c>
      <c r="D27" s="278"/>
    </row>
    <row r="28" spans="1:4" x14ac:dyDescent="0.2">
      <c r="A28" s="61" t="s">
        <v>179</v>
      </c>
      <c r="B28" s="62">
        <f>ABS(C39-'Consumption and calibration'!B14)</f>
        <v>2.6652486001682574E-4</v>
      </c>
      <c r="C28" s="62"/>
      <c r="D28" s="53"/>
    </row>
    <row r="29" spans="1:4" x14ac:dyDescent="0.2">
      <c r="A29" s="61"/>
      <c r="B29" s="51" t="s">
        <v>27</v>
      </c>
      <c r="C29" s="60" t="s">
        <v>28</v>
      </c>
      <c r="D29" s="256" t="s">
        <v>29</v>
      </c>
    </row>
    <row r="30" spans="1:4" x14ac:dyDescent="0.2">
      <c r="A30" s="61"/>
      <c r="B30" s="66">
        <v>0</v>
      </c>
      <c r="C30" s="62">
        <f>1/(EXP(B30/('SC-rate function'!C$3*B$27)))</f>
        <v>1</v>
      </c>
      <c r="D30" s="63">
        <f>1-C30</f>
        <v>0</v>
      </c>
    </row>
    <row r="31" spans="1:4" x14ac:dyDescent="0.2">
      <c r="A31" s="61"/>
      <c r="B31" s="66">
        <v>1</v>
      </c>
      <c r="C31" s="62">
        <f>1/(EXP(B31/('SC-rate function'!C$3*B$27)))</f>
        <v>0.78950018297702051</v>
      </c>
      <c r="D31" s="63">
        <f t="shared" ref="D31:D49" si="0">1-C31</f>
        <v>0.21049981702297949</v>
      </c>
    </row>
    <row r="32" spans="1:4" x14ac:dyDescent="0.2">
      <c r="A32" s="61"/>
      <c r="B32" s="66">
        <v>1.5</v>
      </c>
      <c r="C32" s="62">
        <f>1/(EXP(B32/('SC-rate function'!C$3*B$27)))</f>
        <v>0.70150109374785474</v>
      </c>
      <c r="D32" s="63">
        <f t="shared" si="0"/>
        <v>0.29849890625214526</v>
      </c>
    </row>
    <row r="33" spans="1:4" x14ac:dyDescent="0.2">
      <c r="A33" s="61"/>
      <c r="B33" s="66">
        <v>2</v>
      </c>
      <c r="C33" s="62">
        <f>1/(EXP(B33/('SC-rate function'!C$3*B$27)))</f>
        <v>0.62331053892074895</v>
      </c>
      <c r="D33" s="63">
        <f t="shared" si="0"/>
        <v>0.37668946107925105</v>
      </c>
    </row>
    <row r="34" spans="1:4" x14ac:dyDescent="0.2">
      <c r="A34" s="61"/>
      <c r="B34" s="66">
        <v>2.5</v>
      </c>
      <c r="C34" s="62">
        <f>1/(EXP(B34/('SC-rate function'!C$3*B$27)))</f>
        <v>0.55383524187251132</v>
      </c>
      <c r="D34" s="63">
        <f t="shared" si="0"/>
        <v>0.44616475812748868</v>
      </c>
    </row>
    <row r="35" spans="1:4" x14ac:dyDescent="0.2">
      <c r="A35" s="61"/>
      <c r="B35" s="66">
        <v>3</v>
      </c>
      <c r="C35" s="62">
        <f>1/(EXP(B35/('SC-rate function'!C$3*B$27)))</f>
        <v>0.49210378452943654</v>
      </c>
      <c r="D35" s="63">
        <f t="shared" si="0"/>
        <v>0.50789621547056352</v>
      </c>
    </row>
    <row r="36" spans="1:4" x14ac:dyDescent="0.2">
      <c r="A36" s="61"/>
      <c r="B36" s="66">
        <v>3.5</v>
      </c>
      <c r="C36" s="62">
        <f>1/(EXP(B36/('SC-rate function'!C$3*B$27)))</f>
        <v>0.43725302479747014</v>
      </c>
      <c r="D36" s="63">
        <f t="shared" si="0"/>
        <v>0.56274697520252981</v>
      </c>
    </row>
    <row r="37" spans="1:4" x14ac:dyDescent="0.2">
      <c r="A37" s="61"/>
      <c r="B37" s="66">
        <v>4</v>
      </c>
      <c r="C37" s="62">
        <f>1/(EXP(B37/('SC-rate function'!C$3*B$27)))</f>
        <v>0.38851602792967443</v>
      </c>
      <c r="D37" s="63">
        <f t="shared" si="0"/>
        <v>0.61148397207032557</v>
      </c>
    </row>
    <row r="38" spans="1:4" x14ac:dyDescent="0.2">
      <c r="A38" s="61"/>
      <c r="B38" s="66">
        <v>4.5</v>
      </c>
      <c r="C38" s="62">
        <f>1/(EXP(B38/('SC-rate function'!C$3*B$27)))</f>
        <v>0.3452113430848584</v>
      </c>
      <c r="D38" s="63">
        <f t="shared" si="0"/>
        <v>0.65478865691514154</v>
      </c>
    </row>
    <row r="39" spans="1:4" x14ac:dyDescent="0.2">
      <c r="A39" s="61"/>
      <c r="B39" s="135">
        <v>5</v>
      </c>
      <c r="C39" s="136">
        <f>1/(EXP(B39/('SC-rate function'!C$3*B$27)))</f>
        <v>0.30673347513998317</v>
      </c>
      <c r="D39" s="63">
        <f t="shared" si="0"/>
        <v>0.69326652486001683</v>
      </c>
    </row>
    <row r="40" spans="1:4" x14ac:dyDescent="0.2">
      <c r="A40" s="61"/>
      <c r="B40" s="66">
        <v>5.5</v>
      </c>
      <c r="C40" s="62">
        <f>1/(EXP(B40/('SC-rate function'!C$3*B$27)))</f>
        <v>0.27254441853123873</v>
      </c>
      <c r="D40" s="63">
        <f t="shared" si="0"/>
        <v>0.72745558146876133</v>
      </c>
    </row>
    <row r="41" spans="1:4" x14ac:dyDescent="0.2">
      <c r="A41" s="61"/>
      <c r="B41" s="66">
        <v>6</v>
      </c>
      <c r="C41" s="62">
        <f>1/(EXP(B41/('SC-rate function'!C$3*B$27)))</f>
        <v>0.2421661347481941</v>
      </c>
      <c r="D41" s="63">
        <f t="shared" si="0"/>
        <v>0.75783386525180596</v>
      </c>
    </row>
    <row r="42" spans="1:4" x14ac:dyDescent="0.2">
      <c r="A42" s="61"/>
      <c r="B42" s="66">
        <v>6.5</v>
      </c>
      <c r="C42" s="62">
        <f>1/(EXP(B42/('SC-rate function'!C$3*B$27)))</f>
        <v>0.21517386829977864</v>
      </c>
      <c r="D42" s="63">
        <f t="shared" si="0"/>
        <v>0.78482613170022142</v>
      </c>
    </row>
    <row r="43" spans="1:4" x14ac:dyDescent="0.2">
      <c r="A43" s="61"/>
      <c r="B43" s="66">
        <v>7</v>
      </c>
      <c r="C43" s="62">
        <f>1/(EXP(B43/('SC-rate function'!C$3*B$27)))</f>
        <v>0.19119020769453704</v>
      </c>
      <c r="D43" s="63">
        <f t="shared" si="0"/>
        <v>0.8088097923054629</v>
      </c>
    </row>
    <row r="44" spans="1:4" x14ac:dyDescent="0.2">
      <c r="A44" s="61"/>
      <c r="B44" s="66">
        <v>7.5</v>
      </c>
      <c r="C44" s="62">
        <f>1/(EXP(B44/('SC-rate function'!C$3*B$27)))</f>
        <v>0.16987980839454855</v>
      </c>
      <c r="D44" s="63">
        <f t="shared" si="0"/>
        <v>0.83012019160545147</v>
      </c>
    </row>
    <row r="45" spans="1:4" x14ac:dyDescent="0.2">
      <c r="A45" s="61"/>
      <c r="B45" s="66">
        <v>8</v>
      </c>
      <c r="C45" s="62">
        <f>1/(EXP(B45/('SC-rate function'!C$3*B$27)))</f>
        <v>0.15094470395825157</v>
      </c>
      <c r="D45" s="63">
        <f t="shared" si="0"/>
        <v>0.84905529604174845</v>
      </c>
    </row>
    <row r="46" spans="1:4" x14ac:dyDescent="0.2">
      <c r="A46" s="61"/>
      <c r="B46" s="66">
        <v>8.5</v>
      </c>
      <c r="C46" s="62">
        <f>1/(EXP(B46/('SC-rate function'!C$3*B$27)))</f>
        <v>0.13412013981159729</v>
      </c>
      <c r="D46" s="63">
        <f t="shared" si="0"/>
        <v>0.86587986018840268</v>
      </c>
    </row>
    <row r="47" spans="1:4" x14ac:dyDescent="0.2">
      <c r="A47" s="61"/>
      <c r="B47" s="66">
        <v>9</v>
      </c>
      <c r="C47" s="62">
        <f>1/(EXP(B47/('SC-rate function'!C$3*B$27)))</f>
        <v>0.11917087139445183</v>
      </c>
      <c r="D47" s="63">
        <f t="shared" si="0"/>
        <v>0.88082912860554818</v>
      </c>
    </row>
    <row r="48" spans="1:4" x14ac:dyDescent="0.2">
      <c r="A48" s="61"/>
      <c r="B48" s="66">
        <v>9.5</v>
      </c>
      <c r="C48" s="62">
        <f>1/(EXP(B48/('SC-rate function'!C$3*B$27)))</f>
        <v>0.10588787492215962</v>
      </c>
      <c r="D48" s="63">
        <f t="shared" si="0"/>
        <v>0.89411212507784033</v>
      </c>
    </row>
    <row r="49" spans="1:5" x14ac:dyDescent="0.2">
      <c r="A49" s="64"/>
      <c r="B49" s="67">
        <v>10</v>
      </c>
      <c r="C49" s="286">
        <f>1/(EXP(B49/('SC-rate function'!C$3*B$27)))</f>
        <v>9.4085424771450682E-2</v>
      </c>
      <c r="D49" s="65">
        <f t="shared" si="0"/>
        <v>0.90591457522854935</v>
      </c>
    </row>
    <row r="52" spans="1:5" x14ac:dyDescent="0.2">
      <c r="A52" s="72" t="s">
        <v>42</v>
      </c>
      <c r="B52" s="59"/>
      <c r="C52" s="68"/>
    </row>
    <row r="53" spans="1:5" x14ac:dyDescent="0.2">
      <c r="A53" s="61" t="s">
        <v>25</v>
      </c>
      <c r="B53" s="71">
        <v>0.3</v>
      </c>
      <c r="C53" s="53"/>
    </row>
    <row r="54" spans="1:5" x14ac:dyDescent="0.2">
      <c r="A54" s="61" t="s">
        <v>43</v>
      </c>
      <c r="B54" s="71">
        <v>1.5</v>
      </c>
      <c r="C54" s="53"/>
    </row>
    <row r="55" spans="1:5" x14ac:dyDescent="0.2">
      <c r="A55" s="61"/>
      <c r="B55" s="51" t="s">
        <v>44</v>
      </c>
      <c r="C55" s="68" t="s">
        <v>45</v>
      </c>
    </row>
    <row r="56" spans="1:5" x14ac:dyDescent="0.2">
      <c r="A56" s="61"/>
      <c r="B56" s="69">
        <v>0.5</v>
      </c>
      <c r="C56" s="63">
        <f t="shared" ref="C56:C62" si="1">1/(1+EXP(-B$53*(B56-B$54)))</f>
        <v>0.42555748318834102</v>
      </c>
    </row>
    <row r="57" spans="1:5" x14ac:dyDescent="0.2">
      <c r="A57" s="61"/>
      <c r="B57" s="69">
        <v>1</v>
      </c>
      <c r="C57" s="63">
        <f t="shared" si="1"/>
        <v>0.46257015465625045</v>
      </c>
    </row>
    <row r="58" spans="1:5" x14ac:dyDescent="0.2">
      <c r="A58" s="61"/>
      <c r="B58" s="69">
        <v>1.5</v>
      </c>
      <c r="C58" s="63">
        <f t="shared" si="1"/>
        <v>0.5</v>
      </c>
    </row>
    <row r="59" spans="1:5" x14ac:dyDescent="0.2">
      <c r="A59" s="61"/>
      <c r="B59" s="69">
        <v>2</v>
      </c>
      <c r="C59" s="63">
        <f t="shared" si="1"/>
        <v>0.5374298453437496</v>
      </c>
    </row>
    <row r="60" spans="1:5" x14ac:dyDescent="0.2">
      <c r="A60" s="61"/>
      <c r="B60" s="69">
        <v>2.5</v>
      </c>
      <c r="C60" s="63">
        <f t="shared" si="1"/>
        <v>0.57444251681165903</v>
      </c>
      <c r="E60" s="56"/>
    </row>
    <row r="61" spans="1:5" x14ac:dyDescent="0.2">
      <c r="A61" s="61"/>
      <c r="B61" s="69">
        <v>3</v>
      </c>
      <c r="C61" s="63">
        <f t="shared" si="1"/>
        <v>0.61063923394922204</v>
      </c>
      <c r="D61" s="43"/>
    </row>
    <row r="62" spans="1:5" x14ac:dyDescent="0.2">
      <c r="A62" s="64"/>
      <c r="B62" s="70">
        <v>3.5</v>
      </c>
      <c r="C62" s="65">
        <f t="shared" si="1"/>
        <v>0.6456563062257954</v>
      </c>
    </row>
    <row r="64" spans="1:5" x14ac:dyDescent="0.2">
      <c r="A64" t="s">
        <v>304</v>
      </c>
    </row>
    <row r="65" spans="1:8" ht="21.75" x14ac:dyDescent="0.2">
      <c r="A65" s="87" t="s">
        <v>122</v>
      </c>
      <c r="B65" s="88" t="s">
        <v>131</v>
      </c>
      <c r="C65" s="95" t="s">
        <v>307</v>
      </c>
      <c r="D65" s="95" t="s">
        <v>17</v>
      </c>
      <c r="E65" s="100" t="s">
        <v>132</v>
      </c>
      <c r="F65" s="100" t="s">
        <v>133</v>
      </c>
      <c r="G65" s="107" t="s">
        <v>134</v>
      </c>
      <c r="H65" s="105" t="s">
        <v>135</v>
      </c>
    </row>
    <row r="66" spans="1:8" x14ac:dyDescent="0.2">
      <c r="A66" s="89" t="s">
        <v>128</v>
      </c>
      <c r="B66" s="90">
        <v>1</v>
      </c>
      <c r="C66" s="97">
        <v>0.14299999999999999</v>
      </c>
      <c r="D66" s="90">
        <v>12</v>
      </c>
      <c r="E66" s="90">
        <v>1.4</v>
      </c>
      <c r="F66" s="90">
        <v>6.3</v>
      </c>
      <c r="G66" s="90">
        <v>260</v>
      </c>
      <c r="H66" s="103">
        <v>20</v>
      </c>
    </row>
    <row r="67" spans="1:8" x14ac:dyDescent="0.2">
      <c r="A67" s="91" t="s">
        <v>140</v>
      </c>
      <c r="B67" s="92">
        <v>2</v>
      </c>
      <c r="C67" s="96">
        <v>0.15</v>
      </c>
      <c r="D67" s="92">
        <v>8.5</v>
      </c>
      <c r="E67" s="92">
        <v>2.4</v>
      </c>
      <c r="F67" s="92">
        <v>6.9</v>
      </c>
      <c r="G67" s="104">
        <v>200</v>
      </c>
      <c r="H67" s="106">
        <v>60</v>
      </c>
    </row>
    <row r="68" spans="1:8" x14ac:dyDescent="0.2">
      <c r="A68" s="91" t="s">
        <v>123</v>
      </c>
      <c r="B68" s="92">
        <v>3</v>
      </c>
      <c r="C68" s="96">
        <v>0.15</v>
      </c>
      <c r="D68" s="92">
        <v>8.5</v>
      </c>
      <c r="E68" s="92">
        <v>2.4</v>
      </c>
      <c r="F68" s="92">
        <v>6.9</v>
      </c>
      <c r="G68" s="104">
        <v>200</v>
      </c>
      <c r="H68" s="106">
        <v>60</v>
      </c>
    </row>
    <row r="69" spans="1:8" x14ac:dyDescent="0.2">
      <c r="A69" s="91" t="s">
        <v>124</v>
      </c>
      <c r="B69" s="92">
        <v>4</v>
      </c>
      <c r="C69" s="96">
        <v>0.16600000000000001</v>
      </c>
      <c r="D69" s="92">
        <v>2.5</v>
      </c>
      <c r="E69" s="92">
        <v>3.3</v>
      </c>
      <c r="F69" s="92">
        <v>6.9</v>
      </c>
      <c r="G69" s="104">
        <v>100</v>
      </c>
      <c r="H69" s="101">
        <v>100</v>
      </c>
    </row>
    <row r="70" spans="1:8" x14ac:dyDescent="0.2">
      <c r="A70" s="91" t="s">
        <v>129</v>
      </c>
      <c r="B70" s="92">
        <v>5</v>
      </c>
      <c r="C70" s="96">
        <v>0.17899999999999999</v>
      </c>
      <c r="D70" s="92">
        <v>15</v>
      </c>
      <c r="E70" s="92">
        <v>2.1</v>
      </c>
      <c r="F70" s="92">
        <v>7.4</v>
      </c>
      <c r="G70" s="104">
        <v>250</v>
      </c>
      <c r="H70" s="101">
        <v>30</v>
      </c>
    </row>
    <row r="71" spans="1:8" x14ac:dyDescent="0.2">
      <c r="A71" s="91" t="s">
        <v>126</v>
      </c>
      <c r="B71" s="92">
        <v>6</v>
      </c>
      <c r="C71" s="96">
        <v>0.18</v>
      </c>
      <c r="D71" s="92">
        <v>2.5</v>
      </c>
      <c r="E71" s="92">
        <v>3.4</v>
      </c>
      <c r="F71" s="92">
        <v>7.8</v>
      </c>
      <c r="G71" s="104">
        <v>100</v>
      </c>
      <c r="H71" s="101">
        <v>60</v>
      </c>
    </row>
    <row r="72" spans="1:8" x14ac:dyDescent="0.2">
      <c r="A72" s="91" t="s">
        <v>125</v>
      </c>
      <c r="B72" s="92">
        <v>7</v>
      </c>
      <c r="C72" s="96">
        <v>0.186</v>
      </c>
      <c r="D72" s="92">
        <v>0.1</v>
      </c>
      <c r="E72" s="92">
        <v>4.0999999999999996</v>
      </c>
      <c r="F72" s="92">
        <v>6.5</v>
      </c>
      <c r="G72" s="104">
        <v>10</v>
      </c>
      <c r="H72" s="101">
        <v>120</v>
      </c>
    </row>
    <row r="73" spans="1:8" x14ac:dyDescent="0.2">
      <c r="A73" s="91" t="s">
        <v>127</v>
      </c>
      <c r="B73" s="92">
        <v>8</v>
      </c>
      <c r="C73" s="96">
        <v>0.19400000000000001</v>
      </c>
      <c r="D73" s="92">
        <v>2</v>
      </c>
      <c r="E73" s="92">
        <v>2.7</v>
      </c>
      <c r="F73" s="92">
        <v>8.1999999999999993</v>
      </c>
      <c r="G73" s="104">
        <v>100</v>
      </c>
      <c r="H73" s="101">
        <v>100</v>
      </c>
    </row>
    <row r="74" spans="1:8" x14ac:dyDescent="0.2">
      <c r="A74" s="93" t="s">
        <v>130</v>
      </c>
      <c r="B74" s="114">
        <v>9</v>
      </c>
      <c r="C74" s="98">
        <v>0.20899999999999999</v>
      </c>
      <c r="D74" s="94">
        <v>1E-3</v>
      </c>
      <c r="E74" s="94">
        <v>5.3</v>
      </c>
      <c r="F74" s="94">
        <v>6.5</v>
      </c>
      <c r="G74" s="94">
        <v>1</v>
      </c>
      <c r="H74" s="102">
        <v>300</v>
      </c>
    </row>
  </sheetData>
  <mergeCells count="1">
    <mergeCell ref="C27:D27"/>
  </mergeCells>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Roman,Regular"&amp;12&amp;A</oddHeader>
    <oddFooter>&amp;C&amp;"Times New Roman,Regular"&amp;12Page &amp;P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I9"/>
  <sheetViews>
    <sheetView zoomScale="80" zoomScaleNormal="80" workbookViewId="0">
      <selection activeCell="D4" sqref="D4"/>
    </sheetView>
  </sheetViews>
  <sheetFormatPr defaultRowHeight="12.75" x14ac:dyDescent="0.2"/>
  <cols>
    <col min="1" max="1" width="5.28515625" customWidth="1"/>
    <col min="2" max="2" width="15.5703125" customWidth="1"/>
  </cols>
  <sheetData>
    <row r="1" spans="2:61" x14ac:dyDescent="0.2">
      <c r="B1" s="46" t="s">
        <v>24</v>
      </c>
    </row>
    <row r="2" spans="2:61" x14ac:dyDescent="0.2">
      <c r="C2" t="s">
        <v>212</v>
      </c>
    </row>
    <row r="3" spans="2:61" x14ac:dyDescent="0.2">
      <c r="B3" s="61" t="s">
        <v>25</v>
      </c>
      <c r="C3" s="126">
        <v>1.444</v>
      </c>
    </row>
    <row r="4" spans="2:61" x14ac:dyDescent="0.2">
      <c r="B4" s="61" t="s">
        <v>26</v>
      </c>
      <c r="C4" s="145">
        <v>2.93</v>
      </c>
      <c r="D4" t="s">
        <v>312</v>
      </c>
    </row>
    <row r="6" spans="2:61" x14ac:dyDescent="0.2">
      <c r="C6" s="170"/>
      <c r="D6" s="170"/>
      <c r="E6" s="170"/>
      <c r="F6" s="170"/>
      <c r="G6" s="170"/>
    </row>
    <row r="7" spans="2:61" x14ac:dyDescent="0.2">
      <c r="D7" t="s">
        <v>181</v>
      </c>
    </row>
    <row r="8" spans="2:61" s="127" customFormat="1" x14ac:dyDescent="0.2">
      <c r="B8" s="128" t="s">
        <v>180</v>
      </c>
      <c r="C8" s="137">
        <f>'Common Assumptions'!B28</f>
        <v>2.6652486001682574E-4</v>
      </c>
      <c r="D8" s="127">
        <v>2</v>
      </c>
      <c r="E8" s="127">
        <v>2.1</v>
      </c>
      <c r="F8" s="127">
        <v>2.2000000000000002</v>
      </c>
      <c r="G8" s="127">
        <v>2.2999999999999998</v>
      </c>
      <c r="H8" s="127">
        <v>2.4</v>
      </c>
      <c r="I8" s="127">
        <v>2.5</v>
      </c>
      <c r="J8" s="127">
        <v>2.6</v>
      </c>
      <c r="K8" s="127">
        <v>2.7</v>
      </c>
      <c r="L8" s="127">
        <v>2.8</v>
      </c>
      <c r="M8" s="127">
        <v>2.9</v>
      </c>
      <c r="N8" s="127">
        <v>3</v>
      </c>
      <c r="O8" s="127">
        <v>3.1</v>
      </c>
      <c r="P8" s="127">
        <v>3.2</v>
      </c>
      <c r="Q8" s="127">
        <v>3.3</v>
      </c>
      <c r="R8" s="127">
        <v>3.4</v>
      </c>
      <c r="S8" s="127">
        <v>3.5</v>
      </c>
      <c r="T8" s="127">
        <v>3.6</v>
      </c>
      <c r="U8" s="127">
        <v>3.7</v>
      </c>
      <c r="V8" s="127">
        <v>3.8</v>
      </c>
      <c r="W8" s="127">
        <v>3.9</v>
      </c>
      <c r="X8" s="127">
        <v>4</v>
      </c>
      <c r="Y8" s="127">
        <v>4.0999999999999996</v>
      </c>
      <c r="Z8" s="127">
        <v>4.2</v>
      </c>
    </row>
    <row r="9" spans="2:61" x14ac:dyDescent="0.2">
      <c r="C9" s="235">
        <f>C3</f>
        <v>1.444</v>
      </c>
      <c r="D9" s="10">
        <f t="dataTable" ref="D9:Z9" dt2D="1" dtr="1" r1="C4" r2="C3" ca="1"/>
        <v>0.12994625334049834</v>
      </c>
      <c r="E9" s="10">
        <v>0.11473083536928952</v>
      </c>
      <c r="F9" s="10">
        <v>9.9766862981672144E-2</v>
      </c>
      <c r="G9" s="10">
        <v>8.5089237137096208E-2</v>
      </c>
      <c r="H9" s="10">
        <v>7.0723279387391841E-2</v>
      </c>
      <c r="I9" s="10">
        <v>5.6686601258133462E-2</v>
      </c>
      <c r="J9" s="10">
        <v>4.2990640114468071E-2</v>
      </c>
      <c r="K9" s="10">
        <v>2.9641914658969537E-2</v>
      </c>
      <c r="L9" s="10">
        <v>1.6643047491914364E-2</v>
      </c>
      <c r="M9" s="10">
        <v>3.9935956663638139E-3</v>
      </c>
      <c r="N9" s="10">
        <v>8.3092761759556155E-3</v>
      </c>
      <c r="O9" s="10">
        <v>2.0270251266091777E-2</v>
      </c>
      <c r="P9" s="10">
        <v>3.1895420969274557E-2</v>
      </c>
      <c r="Q9" s="10">
        <v>4.319193031912133E-2</v>
      </c>
      <c r="R9" s="10">
        <v>5.4167692867406469E-2</v>
      </c>
      <c r="S9" s="10">
        <v>6.4831161844211838E-2</v>
      </c>
      <c r="T9" s="10">
        <v>7.5191147046501206E-2</v>
      </c>
      <c r="U9" s="10">
        <v>8.5256668852546791E-2</v>
      </c>
      <c r="V9" s="10">
        <v>9.5036842371294394E-2</v>
      </c>
      <c r="W9" s="10">
        <v>0.10454078604539863</v>
      </c>
      <c r="X9" s="10">
        <v>0.11377755008971385</v>
      </c>
      <c r="Y9" s="10">
        <v>0.12275606100952724</v>
      </c>
      <c r="Z9" s="10">
        <v>0.13148507914262086</v>
      </c>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row>
  </sheetData>
  <conditionalFormatting sqref="D9:Y9">
    <cfRule type="colorScale" priority="4">
      <colorScale>
        <cfvo type="min"/>
        <cfvo type="percentile" val="50"/>
        <cfvo type="max"/>
        <color rgb="FF63BE7B"/>
        <color rgb="FFFFEB84"/>
        <color rgb="FFF8696B"/>
      </colorScale>
    </cfRule>
  </conditionalFormatting>
  <conditionalFormatting sqref="D9:BI9">
    <cfRule type="colorScale" priority="6">
      <colorScale>
        <cfvo type="min"/>
        <cfvo type="percentile" val="50"/>
        <cfvo type="max"/>
        <color rgb="FF63BE7B"/>
        <color rgb="FFFFEB84"/>
        <color rgb="FFF8696B"/>
      </colorScale>
    </cfRule>
  </conditionalFormatting>
  <pageMargins left="0.7" right="0.7" top="0.75" bottom="0.75" header="0.3" footer="0.3"/>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1"/>
  <sheetViews>
    <sheetView zoomScale="140" zoomScaleNormal="140" workbookViewId="0">
      <selection activeCell="B21" sqref="B21"/>
    </sheetView>
  </sheetViews>
  <sheetFormatPr defaultRowHeight="12.75" x14ac:dyDescent="0.2"/>
  <cols>
    <col min="1" max="1" width="41.140625" customWidth="1"/>
    <col min="2" max="2" width="25.7109375" customWidth="1"/>
    <col min="3" max="3" width="19.28515625" customWidth="1"/>
  </cols>
  <sheetData>
    <row r="1" spans="1:11" x14ac:dyDescent="0.2">
      <c r="A1" s="123" t="s">
        <v>164</v>
      </c>
    </row>
    <row r="2" spans="1:11" x14ac:dyDescent="0.2">
      <c r="A2" t="s">
        <v>165</v>
      </c>
    </row>
    <row r="4" spans="1:11" x14ac:dyDescent="0.2">
      <c r="A4" s="1" t="s">
        <v>10</v>
      </c>
      <c r="B4" s="129" t="s">
        <v>177</v>
      </c>
      <c r="C4" s="141" t="s">
        <v>168</v>
      </c>
      <c r="D4" t="s">
        <v>236</v>
      </c>
    </row>
    <row r="5" spans="1:11" x14ac:dyDescent="0.2">
      <c r="A5" s="7" t="s">
        <v>158</v>
      </c>
      <c r="B5" s="139">
        <v>2840</v>
      </c>
      <c r="C5" s="142">
        <f>'Heating and cooling'!B12</f>
        <v>404.58937198067639</v>
      </c>
      <c r="D5" t="s">
        <v>178</v>
      </c>
    </row>
    <row r="6" spans="1:11" x14ac:dyDescent="0.2">
      <c r="A6" s="8" t="s">
        <v>159</v>
      </c>
      <c r="B6" s="139">
        <v>402.25233153333301</v>
      </c>
      <c r="C6" s="142">
        <f>'Hot water'!E24</f>
        <v>698.44998487412545</v>
      </c>
    </row>
    <row r="7" spans="1:11" x14ac:dyDescent="0.2">
      <c r="A7" s="8" t="s">
        <v>160</v>
      </c>
      <c r="B7" s="139">
        <v>928</v>
      </c>
      <c r="C7" s="142">
        <f>'Other loads'!B5*365</f>
        <v>394.20000000000005</v>
      </c>
    </row>
    <row r="8" spans="1:11" x14ac:dyDescent="0.2">
      <c r="A8" s="8" t="s">
        <v>161</v>
      </c>
      <c r="B8" s="139">
        <v>215</v>
      </c>
      <c r="C8" s="142">
        <f>'Other loads'!B13</f>
        <v>122.27500000000001</v>
      </c>
    </row>
    <row r="9" spans="1:11" x14ac:dyDescent="0.2">
      <c r="A9" s="8" t="s">
        <v>162</v>
      </c>
      <c r="B9" s="139">
        <v>1244.7</v>
      </c>
      <c r="C9" s="142">
        <f>'Other loads'!B23</f>
        <v>1037.2083333333335</v>
      </c>
    </row>
    <row r="10" spans="1:11" x14ac:dyDescent="0.2">
      <c r="A10" s="8" t="s">
        <v>87</v>
      </c>
      <c r="B10" s="139">
        <v>464.4</v>
      </c>
      <c r="C10" s="142">
        <f>'Other loads'!B18</f>
        <v>386.29166666666669</v>
      </c>
    </row>
    <row r="11" spans="1:11" x14ac:dyDescent="0.2">
      <c r="A11" s="8" t="s">
        <v>166</v>
      </c>
      <c r="B11" s="139">
        <v>693</v>
      </c>
      <c r="C11" s="142">
        <f>'Other loads'!B29</f>
        <v>106.23020833333334</v>
      </c>
    </row>
    <row r="12" spans="1:11" s="46" customFormat="1" x14ac:dyDescent="0.2">
      <c r="A12" s="124" t="s">
        <v>204</v>
      </c>
      <c r="B12" s="132">
        <f>SUM(B5:B11)</f>
        <v>6787.3523315333323</v>
      </c>
      <c r="C12" s="143">
        <f>SUM(C5:C11)</f>
        <v>3149.2445651881353</v>
      </c>
    </row>
    <row r="13" spans="1:11" x14ac:dyDescent="0.2">
      <c r="B13" s="129"/>
      <c r="C13" s="141"/>
    </row>
    <row r="14" spans="1:11" x14ac:dyDescent="0.2">
      <c r="A14" t="s">
        <v>28</v>
      </c>
      <c r="B14" s="140">
        <v>0.307</v>
      </c>
      <c r="C14" s="144">
        <f>'Common Assumptions'!B16</f>
        <v>0.55383524187251132</v>
      </c>
    </row>
    <row r="16" spans="1:11" x14ac:dyDescent="0.2">
      <c r="A16" s="83" t="s">
        <v>148</v>
      </c>
      <c r="B16" s="83" t="s">
        <v>147</v>
      </c>
      <c r="C16" s="83" t="s">
        <v>149</v>
      </c>
      <c r="D16" s="83" t="s">
        <v>77</v>
      </c>
      <c r="E16" s="83" t="s">
        <v>169</v>
      </c>
      <c r="F16" s="83" t="s">
        <v>170</v>
      </c>
      <c r="G16" s="83" t="s">
        <v>171</v>
      </c>
      <c r="H16" s="83" t="s">
        <v>87</v>
      </c>
      <c r="I16" s="83" t="s">
        <v>172</v>
      </c>
      <c r="J16" s="83" t="s">
        <v>50</v>
      </c>
      <c r="K16" s="83" t="s">
        <v>235</v>
      </c>
    </row>
    <row r="17" spans="1:11" x14ac:dyDescent="0.2">
      <c r="A17" t="s">
        <v>143</v>
      </c>
      <c r="B17" s="35" t="e">
        <f>PV!#REF!+PV!#REF!+PV!#REF!</f>
        <v>#REF!</v>
      </c>
      <c r="C17" s="35">
        <f>C$21*'Heating and cooling'!F24</f>
        <v>25.543265632441855</v>
      </c>
      <c r="D17" s="35">
        <f>C$6*'Hot water'!C32</f>
        <v>147.53769616526125</v>
      </c>
      <c r="E17" s="35">
        <f>E$21/4</f>
        <v>98.550000000000011</v>
      </c>
      <c r="F17" s="35">
        <f>'Other loads'!C36*F$21</f>
        <v>17.971581395348899</v>
      </c>
      <c r="G17" s="35">
        <f>G$21/4</f>
        <v>259.30208333333337</v>
      </c>
      <c r="H17" s="35">
        <f>H$21/4</f>
        <v>96.572916666666671</v>
      </c>
      <c r="I17" s="35">
        <f>I$21/4</f>
        <v>26.557552083333334</v>
      </c>
      <c r="J17" s="35">
        <f>SUM(C17:I17)</f>
        <v>672.03509527638528</v>
      </c>
      <c r="K17" s="35">
        <f>J17/3</f>
        <v>224.01169842546176</v>
      </c>
    </row>
    <row r="18" spans="1:11" x14ac:dyDescent="0.2">
      <c r="A18" t="s">
        <v>144</v>
      </c>
      <c r="B18" s="35" t="e">
        <f>PV!#REF!+PV!#REF!+PV!#REF!</f>
        <v>#REF!</v>
      </c>
      <c r="C18" s="35">
        <f>C$21*'Heating and cooling'!F25</f>
        <v>82.057562767911833</v>
      </c>
      <c r="D18" s="35">
        <f>C$6*'Hot water'!C33</f>
        <v>172.09425895833149</v>
      </c>
      <c r="E18" s="35">
        <f t="shared" ref="E18:E20" si="0">E$21/4</f>
        <v>98.550000000000011</v>
      </c>
      <c r="F18" s="35">
        <f>'Other loads'!C37*F$21</f>
        <v>34.350744186046569</v>
      </c>
      <c r="G18" s="35">
        <f t="shared" ref="G18:I20" si="1">G$21/4</f>
        <v>259.30208333333337</v>
      </c>
      <c r="H18" s="35">
        <f t="shared" si="1"/>
        <v>96.572916666666671</v>
      </c>
      <c r="I18" s="35">
        <f t="shared" si="1"/>
        <v>26.557552083333334</v>
      </c>
      <c r="J18" s="35">
        <f t="shared" ref="J18:J20" si="2">SUM(C18:I18)</f>
        <v>769.48511799562323</v>
      </c>
      <c r="K18" s="35">
        <f t="shared" ref="K18:K20" si="3">J18/3</f>
        <v>256.49503933187441</v>
      </c>
    </row>
    <row r="19" spans="1:11" x14ac:dyDescent="0.2">
      <c r="A19" t="s">
        <v>145</v>
      </c>
      <c r="B19" s="35" t="e">
        <f>PV!#REF!+PV!#REF!+PV!#REF!</f>
        <v>#REF!</v>
      </c>
      <c r="C19" s="35">
        <f>C$21*'Heating and cooling'!F26</f>
        <v>224.26217935633127</v>
      </c>
      <c r="D19" s="35">
        <f>C$6*'Hot water'!C34</f>
        <v>202.66925748062653</v>
      </c>
      <c r="E19" s="35">
        <f t="shared" si="0"/>
        <v>98.550000000000011</v>
      </c>
      <c r="F19" s="35">
        <f>'Other loads'!C38*F$21</f>
        <v>41.004779069767402</v>
      </c>
      <c r="G19" s="35">
        <f t="shared" si="1"/>
        <v>259.30208333333337</v>
      </c>
      <c r="H19" s="35">
        <f t="shared" si="1"/>
        <v>96.572916666666671</v>
      </c>
      <c r="I19" s="35">
        <f t="shared" si="1"/>
        <v>26.557552083333334</v>
      </c>
      <c r="J19" s="35">
        <f t="shared" si="2"/>
        <v>948.91876799005854</v>
      </c>
      <c r="K19" s="35">
        <f t="shared" si="3"/>
        <v>316.30625599668616</v>
      </c>
    </row>
    <row r="20" spans="1:11" x14ac:dyDescent="0.2">
      <c r="A20" t="s">
        <v>146</v>
      </c>
      <c r="B20" s="35" t="e">
        <f>+PV!#REF!+PV!#REF!+PV!#REF!</f>
        <v>#REF!</v>
      </c>
      <c r="C20" s="35">
        <f>C$21*'Heating and cooling'!F27</f>
        <v>72.726364223991453</v>
      </c>
      <c r="D20" s="35">
        <f>C$6*'Hot water'!C35</f>
        <v>176.14877226990612</v>
      </c>
      <c r="E20" s="35">
        <f t="shared" si="0"/>
        <v>98.550000000000011</v>
      </c>
      <c r="F20" s="35">
        <f>'Other loads'!C39*F$21</f>
        <v>28.947895348837257</v>
      </c>
      <c r="G20" s="35">
        <f t="shared" si="1"/>
        <v>259.30208333333337</v>
      </c>
      <c r="H20" s="35">
        <f t="shared" si="1"/>
        <v>96.572916666666671</v>
      </c>
      <c r="I20" s="35">
        <f t="shared" si="1"/>
        <v>26.557552083333334</v>
      </c>
      <c r="J20" s="35">
        <f t="shared" si="2"/>
        <v>758.80558392606815</v>
      </c>
      <c r="K20" s="35">
        <f t="shared" si="3"/>
        <v>252.93519464202271</v>
      </c>
    </row>
    <row r="21" spans="1:11" x14ac:dyDescent="0.2">
      <c r="A21" t="s">
        <v>50</v>
      </c>
      <c r="B21" s="35" t="e">
        <f>SUM(B17:B20)</f>
        <v>#REF!</v>
      </c>
      <c r="C21" s="35">
        <f>C5</f>
        <v>404.58937198067639</v>
      </c>
      <c r="D21" s="35">
        <f>C6</f>
        <v>698.44998487412545</v>
      </c>
      <c r="E21" s="35">
        <f>C7</f>
        <v>394.20000000000005</v>
      </c>
      <c r="F21" s="35">
        <f>C8</f>
        <v>122.27500000000001</v>
      </c>
      <c r="G21" s="35">
        <f>C9</f>
        <v>1037.2083333333335</v>
      </c>
      <c r="H21" s="35">
        <f>C10</f>
        <v>386.29166666666669</v>
      </c>
      <c r="I21" s="35">
        <f>C11</f>
        <v>106.23020833333334</v>
      </c>
      <c r="J21" s="35">
        <f>SUM(J17:J20)</f>
        <v>3149.2445651881353</v>
      </c>
      <c r="K21" s="35">
        <f>J21/12</f>
        <v>262.43704709901129</v>
      </c>
    </row>
  </sheetData>
  <pageMargins left="0.7" right="0.7" top="0.75" bottom="0.75" header="0.3" footer="0.3"/>
  <pageSetup paperSize="9"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4"/>
  <sheetViews>
    <sheetView zoomScale="140" zoomScaleNormal="140" workbookViewId="0">
      <selection activeCell="B4" sqref="B4"/>
    </sheetView>
  </sheetViews>
  <sheetFormatPr defaultRowHeight="12.75" x14ac:dyDescent="0.2"/>
  <cols>
    <col min="1" max="1" width="32.42578125" customWidth="1"/>
    <col min="2" max="2" width="11.42578125" customWidth="1"/>
    <col min="3" max="3" width="14" customWidth="1"/>
    <col min="4" max="1025" width="11.42578125" customWidth="1"/>
  </cols>
  <sheetData>
    <row r="1" spans="1:11" x14ac:dyDescent="0.2">
      <c r="A1" s="4" t="s">
        <v>46</v>
      </c>
    </row>
    <row r="2" spans="1:11" ht="25.5" x14ac:dyDescent="0.2">
      <c r="B2" s="17" t="s">
        <v>5</v>
      </c>
    </row>
    <row r="3" spans="1:11" x14ac:dyDescent="0.2">
      <c r="A3" t="s">
        <v>47</v>
      </c>
      <c r="B3" s="112">
        <f>'Reference case'!B5</f>
        <v>2.5</v>
      </c>
      <c r="C3" s="74"/>
      <c r="D3" s="74"/>
      <c r="E3" s="74"/>
      <c r="F3" s="74"/>
      <c r="G3" s="74"/>
      <c r="H3" s="74"/>
      <c r="I3" s="74"/>
      <c r="J3" s="74"/>
      <c r="K3" s="74"/>
    </row>
    <row r="4" spans="1:11" x14ac:dyDescent="0.2">
      <c r="A4" t="s">
        <v>48</v>
      </c>
      <c r="B4" s="35">
        <f>B3*8760*'Common Assumptions'!$B$18*'Common Assumptions'!$B$13</f>
        <v>3285</v>
      </c>
    </row>
    <row r="5" spans="1:11" x14ac:dyDescent="0.2">
      <c r="A5" t="s">
        <v>256</v>
      </c>
      <c r="B5" s="138">
        <f>1/(EXP(B3/('SC-rate function'!C3*'SC-rate function'!C4)))</f>
        <v>0.55383524187251132</v>
      </c>
      <c r="C5" s="121" t="s">
        <v>173</v>
      </c>
      <c r="D5" s="13"/>
      <c r="E5" s="13"/>
      <c r="F5" s="13"/>
      <c r="G5" s="13"/>
      <c r="H5" s="10"/>
      <c r="I5" s="10"/>
      <c r="J5" s="10"/>
      <c r="K5" s="10"/>
    </row>
    <row r="6" spans="1:11" x14ac:dyDescent="0.2">
      <c r="A6" t="s">
        <v>195</v>
      </c>
      <c r="B6" s="49">
        <f>B5*B4</f>
        <v>1819.3487695511997</v>
      </c>
      <c r="C6" s="13"/>
      <c r="D6" s="13"/>
      <c r="E6" s="13"/>
      <c r="F6" s="13"/>
      <c r="G6" s="13"/>
      <c r="H6" s="10"/>
      <c r="I6" s="10"/>
      <c r="J6" s="10"/>
      <c r="K6" s="10"/>
    </row>
    <row r="7" spans="1:11" x14ac:dyDescent="0.2">
      <c r="A7" t="s">
        <v>190</v>
      </c>
      <c r="B7" s="9">
        <f>B4*(1-B5)</f>
        <v>1465.6512304488003</v>
      </c>
      <c r="C7" s="9"/>
      <c r="D7" s="9"/>
      <c r="E7" s="9"/>
      <c r="F7" s="9"/>
      <c r="G7" s="9"/>
      <c r="H7" s="9"/>
      <c r="I7" s="9"/>
      <c r="J7" s="9"/>
      <c r="K7" s="9"/>
    </row>
    <row r="8" spans="1:11" x14ac:dyDescent="0.2">
      <c r="A8" t="s">
        <v>138</v>
      </c>
      <c r="B8" s="14">
        <f>B4/365</f>
        <v>9</v>
      </c>
      <c r="C8" s="14"/>
      <c r="D8" s="14"/>
      <c r="E8" s="14"/>
      <c r="F8" s="14"/>
      <c r="G8" s="14"/>
      <c r="H8" s="14"/>
      <c r="I8" s="14"/>
      <c r="J8" s="14"/>
      <c r="K8" s="14"/>
    </row>
    <row r="10" spans="1:11" x14ac:dyDescent="0.2">
      <c r="A10" s="1" t="s">
        <v>49</v>
      </c>
      <c r="B10" s="18"/>
    </row>
    <row r="11" spans="1:11" x14ac:dyDescent="0.2">
      <c r="A11" t="s">
        <v>120</v>
      </c>
      <c r="B11" s="6">
        <f>B5*'Common Assumptions'!$B5*B4</f>
        <v>545.80463086535985</v>
      </c>
      <c r="C11" s="6"/>
      <c r="D11" s="6"/>
      <c r="E11" s="6"/>
      <c r="F11" s="6"/>
      <c r="G11" s="6"/>
      <c r="H11" s="6"/>
      <c r="I11" s="6"/>
      <c r="J11" s="6"/>
      <c r="K11" s="6"/>
    </row>
    <row r="12" spans="1:11" x14ac:dyDescent="0.2">
      <c r="A12" t="s">
        <v>121</v>
      </c>
      <c r="B12" s="6">
        <f>B4*(1-B5)*'Common Assumptions'!$B6</f>
        <v>165.61858904071445</v>
      </c>
      <c r="C12" s="6"/>
      <c r="D12" s="6"/>
      <c r="E12" s="6"/>
      <c r="F12" s="6"/>
      <c r="G12" s="6"/>
      <c r="H12" s="6"/>
      <c r="I12" s="6"/>
      <c r="J12" s="6"/>
      <c r="K12" s="6"/>
    </row>
    <row r="13" spans="1:11" x14ac:dyDescent="0.2">
      <c r="A13" t="s">
        <v>50</v>
      </c>
      <c r="B13" s="19">
        <f>B11+B12</f>
        <v>711.42321990607434</v>
      </c>
      <c r="C13" s="6"/>
      <c r="D13" s="6"/>
      <c r="E13" s="6"/>
      <c r="F13" s="6"/>
      <c r="G13" s="6"/>
      <c r="H13" s="6"/>
      <c r="I13" s="6"/>
      <c r="J13" s="6"/>
      <c r="K13" s="6"/>
    </row>
    <row r="14" spans="1:11" x14ac:dyDescent="0.2">
      <c r="B14" s="18"/>
    </row>
    <row r="15" spans="1:11" x14ac:dyDescent="0.2">
      <c r="A15" t="s">
        <v>51</v>
      </c>
      <c r="B15" s="20">
        <f>B4*(1-'Common Assumptions'!$B15)</f>
        <v>1819.3487695511997</v>
      </c>
      <c r="C15" s="9"/>
      <c r="D15" s="9"/>
      <c r="E15" s="9"/>
      <c r="F15" s="9"/>
      <c r="G15" s="9"/>
      <c r="H15" s="9"/>
      <c r="I15" s="9"/>
      <c r="J15" s="9"/>
      <c r="K15" s="9"/>
    </row>
    <row r="33" spans="1:6" x14ac:dyDescent="0.2">
      <c r="A33" s="108"/>
      <c r="C33" s="111"/>
    </row>
    <row r="34" spans="1:6" x14ac:dyDescent="0.2">
      <c r="A34" s="109"/>
      <c r="C34" s="99"/>
      <c r="F34" s="35"/>
    </row>
    <row r="35" spans="1:6" x14ac:dyDescent="0.2">
      <c r="A35" s="109"/>
      <c r="C35" s="99"/>
      <c r="F35" s="10"/>
    </row>
    <row r="36" spans="1:6" x14ac:dyDescent="0.2">
      <c r="A36" s="109"/>
      <c r="C36" s="99"/>
    </row>
    <row r="37" spans="1:6" x14ac:dyDescent="0.2">
      <c r="A37" s="109"/>
      <c r="C37" s="99"/>
    </row>
    <row r="38" spans="1:6" x14ac:dyDescent="0.2">
      <c r="A38" s="109"/>
      <c r="C38" s="99"/>
    </row>
    <row r="39" spans="1:6" x14ac:dyDescent="0.2">
      <c r="A39" s="109"/>
      <c r="C39" s="99"/>
    </row>
    <row r="40" spans="1:6" x14ac:dyDescent="0.2">
      <c r="A40" s="109"/>
      <c r="C40" s="99"/>
    </row>
    <row r="41" spans="1:6" x14ac:dyDescent="0.2">
      <c r="A41" s="109"/>
      <c r="C41" s="99"/>
    </row>
    <row r="42" spans="1:6" x14ac:dyDescent="0.2">
      <c r="A42" s="110"/>
      <c r="C42" s="56"/>
    </row>
    <row r="43" spans="1:6" x14ac:dyDescent="0.2">
      <c r="A43" s="56"/>
      <c r="C43" s="56"/>
    </row>
    <row r="44" spans="1:6" x14ac:dyDescent="0.2">
      <c r="C44" s="56"/>
    </row>
  </sheetData>
  <dataValidations disablePrompts="1" count="1">
    <dataValidation type="list" allowBlank="1" showInputMessage="1" showErrorMessage="1" sqref="F33" xr:uid="{00000000-0002-0000-0500-000000000000}">
      <formula1>$A$34:$A$41</formula1>
    </dataValidation>
  </dataValidations>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Roman,Regular"&amp;12&amp;A</oddHeader>
    <oddFooter>&amp;C&amp;"Times New Roman,Regular"&amp;12Page &amp;P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8"/>
  <sheetViews>
    <sheetView zoomScale="140" zoomScaleNormal="140" workbookViewId="0">
      <selection activeCell="B4" sqref="B4"/>
    </sheetView>
  </sheetViews>
  <sheetFormatPr defaultRowHeight="12.75" x14ac:dyDescent="0.2"/>
  <cols>
    <col min="1" max="1" width="59.42578125" customWidth="1"/>
    <col min="2" max="2" width="11.28515625" customWidth="1"/>
    <col min="3" max="5" width="11.42578125" customWidth="1"/>
    <col min="6" max="6" width="14.85546875" customWidth="1"/>
    <col min="7" max="7" width="1.28515625" customWidth="1"/>
    <col min="8" max="1025" width="11.42578125" customWidth="1"/>
  </cols>
  <sheetData>
    <row r="1" spans="1:2" x14ac:dyDescent="0.2">
      <c r="A1" s="4" t="s">
        <v>53</v>
      </c>
    </row>
    <row r="3" spans="1:2" x14ac:dyDescent="0.2">
      <c r="A3" t="s">
        <v>6</v>
      </c>
      <c r="B3" s="77">
        <f>'Reference case'!B6</f>
        <v>7.5</v>
      </c>
    </row>
    <row r="4" spans="1:2" x14ac:dyDescent="0.2">
      <c r="A4" t="s">
        <v>54</v>
      </c>
      <c r="B4" s="75">
        <f>'NatHERS scale'!D5</f>
        <v>75</v>
      </c>
    </row>
    <row r="5" spans="1:2" x14ac:dyDescent="0.2">
      <c r="A5" t="s">
        <v>139</v>
      </c>
      <c r="B5">
        <f>NatHERS_energy_density*Floor_area</f>
        <v>10050</v>
      </c>
    </row>
    <row r="6" spans="1:2" x14ac:dyDescent="0.2">
      <c r="A6" t="s">
        <v>55</v>
      </c>
      <c r="B6" s="76">
        <f>CoP</f>
        <v>5.75</v>
      </c>
    </row>
    <row r="7" spans="1:2" x14ac:dyDescent="0.2">
      <c r="A7" t="s">
        <v>100</v>
      </c>
      <c r="B7" s="9">
        <f>B5/(B6*3.6)</f>
        <v>485.50724637681162</v>
      </c>
    </row>
    <row r="8" spans="1:2" x14ac:dyDescent="0.2">
      <c r="B8" s="13"/>
    </row>
    <row r="9" spans="1:2" x14ac:dyDescent="0.2">
      <c r="A9" t="s">
        <v>155</v>
      </c>
      <c r="B9">
        <v>1.42</v>
      </c>
    </row>
    <row r="10" spans="1:2" x14ac:dyDescent="0.2">
      <c r="A10" t="s">
        <v>56</v>
      </c>
      <c r="B10" s="115">
        <f>Occupancy_time_proportion*(Occupancy_people+2)/(4+2)</f>
        <v>0.83333333333333337</v>
      </c>
    </row>
    <row r="11" spans="1:2" x14ac:dyDescent="0.2">
      <c r="A11" t="s">
        <v>217</v>
      </c>
      <c r="B11" s="115">
        <f>C34</f>
        <v>1</v>
      </c>
    </row>
    <row r="12" spans="1:2" x14ac:dyDescent="0.2">
      <c r="A12" t="s">
        <v>57</v>
      </c>
      <c r="B12" s="131">
        <f>B7*Occupancy_scaling*B11</f>
        <v>404.58937198067639</v>
      </c>
    </row>
    <row r="13" spans="1:2" x14ac:dyDescent="0.2">
      <c r="A13" t="s">
        <v>58</v>
      </c>
      <c r="B13" s="9">
        <f>'Common Assumptions'!B17*B12/('Common Assumptions'!B17+1)</f>
        <v>362.00101703534204</v>
      </c>
    </row>
    <row r="14" spans="1:2" x14ac:dyDescent="0.2">
      <c r="A14" t="s">
        <v>59</v>
      </c>
      <c r="B14" s="9">
        <f>B12-B13</f>
        <v>42.588354945334345</v>
      </c>
    </row>
    <row r="16" spans="1:2" x14ac:dyDescent="0.2">
      <c r="A16" t="s">
        <v>60</v>
      </c>
      <c r="B16" s="14">
        <f>Heating_energy_electric_per_annum/Heating_season</f>
        <v>1.8100050851767102</v>
      </c>
    </row>
    <row r="17" spans="1:10" x14ac:dyDescent="0.2">
      <c r="A17" t="s">
        <v>61</v>
      </c>
      <c r="B17" s="14">
        <f>Cooling_energy_electric_per_annum/Cooling_season</f>
        <v>0.70980591575557239</v>
      </c>
    </row>
    <row r="19" spans="1:10" x14ac:dyDescent="0.2">
      <c r="A19" t="s">
        <v>62</v>
      </c>
      <c r="B19" s="10">
        <f>1-Solar_sufficiency_scaling*Wintertime_peak_sun_hours/Activity_hours_per_day</f>
        <v>0.8</v>
      </c>
    </row>
    <row r="20" spans="1:10" x14ac:dyDescent="0.2">
      <c r="A20" t="s">
        <v>63</v>
      </c>
      <c r="B20" s="10">
        <f>1-Solar_sufficiency_scaling*Summertime_peak_sun_hours/Activity_hours_per_day</f>
        <v>0.42499999999999993</v>
      </c>
    </row>
    <row r="22" spans="1:10" x14ac:dyDescent="0.2">
      <c r="A22" t="s">
        <v>153</v>
      </c>
    </row>
    <row r="23" spans="1:10" x14ac:dyDescent="0.2">
      <c r="A23" s="152" t="s">
        <v>187</v>
      </c>
      <c r="B23" s="42"/>
      <c r="C23" s="150" t="s">
        <v>150</v>
      </c>
      <c r="D23" s="150" t="s">
        <v>151</v>
      </c>
      <c r="E23" s="151" t="s">
        <v>50</v>
      </c>
      <c r="F23" s="156" t="s">
        <v>186</v>
      </c>
      <c r="H23" t="s">
        <v>156</v>
      </c>
      <c r="J23" s="122">
        <f>D28/C28</f>
        <v>8.205834683954647</v>
      </c>
    </row>
    <row r="24" spans="1:10" x14ac:dyDescent="0.2">
      <c r="A24" s="41" t="s">
        <v>143</v>
      </c>
      <c r="B24" s="42"/>
      <c r="C24" s="42">
        <v>167.89999999999901</v>
      </c>
      <c r="D24" s="42">
        <v>11.4</v>
      </c>
      <c r="E24" s="47">
        <v>179.29999999999899</v>
      </c>
      <c r="F24" s="153">
        <f>E24/E$28</f>
        <v>6.313380281690105E-2</v>
      </c>
    </row>
    <row r="25" spans="1:10" x14ac:dyDescent="0.2">
      <c r="A25" s="43" t="s">
        <v>152</v>
      </c>
      <c r="B25" s="56"/>
      <c r="C25" s="56">
        <v>27.6999999999998</v>
      </c>
      <c r="D25" s="56">
        <v>548.29999999999995</v>
      </c>
      <c r="E25" s="117">
        <v>576</v>
      </c>
      <c r="F25" s="154">
        <f t="shared" ref="F25:F28" si="0">E25/E$28</f>
        <v>0.20281690140845071</v>
      </c>
    </row>
    <row r="26" spans="1:10" x14ac:dyDescent="0.2">
      <c r="A26" s="43" t="s">
        <v>145</v>
      </c>
      <c r="B26" s="56"/>
      <c r="C26" s="56">
        <v>0</v>
      </c>
      <c r="D26" s="56">
        <v>1574.2</v>
      </c>
      <c r="E26" s="117">
        <v>1574.2</v>
      </c>
      <c r="F26" s="154">
        <f t="shared" si="0"/>
        <v>0.55429577464788737</v>
      </c>
    </row>
    <row r="27" spans="1:10" x14ac:dyDescent="0.2">
      <c r="A27" s="43" t="s">
        <v>146</v>
      </c>
      <c r="B27" s="56"/>
      <c r="C27" s="56">
        <v>112.9</v>
      </c>
      <c r="D27" s="56">
        <v>397.6</v>
      </c>
      <c r="E27" s="117">
        <v>510.50000000000102</v>
      </c>
      <c r="F27" s="154">
        <f t="shared" si="0"/>
        <v>0.17975352112676093</v>
      </c>
    </row>
    <row r="28" spans="1:10" x14ac:dyDescent="0.2">
      <c r="A28" s="118" t="s">
        <v>50</v>
      </c>
      <c r="B28" s="119"/>
      <c r="C28" s="119">
        <v>308.49999999999898</v>
      </c>
      <c r="D28" s="119">
        <v>2531.5</v>
      </c>
      <c r="E28" s="120">
        <v>2840</v>
      </c>
      <c r="F28" s="155">
        <f t="shared" si="0"/>
        <v>1</v>
      </c>
    </row>
    <row r="30" spans="1:10" x14ac:dyDescent="0.2">
      <c r="A30" t="s">
        <v>154</v>
      </c>
      <c r="C30" s="35">
        <f>Cooling_energy_electric_per_annum</f>
        <v>42.588354945334345</v>
      </c>
      <c r="D30" s="35">
        <f>Heating_energy_electric_per_annum</f>
        <v>362.00101703534204</v>
      </c>
      <c r="E30" s="35">
        <f>C30+D30</f>
        <v>404.58937198067639</v>
      </c>
    </row>
    <row r="32" spans="1:10" x14ac:dyDescent="0.2">
      <c r="A32" s="202" t="s">
        <v>232</v>
      </c>
      <c r="B32" s="203"/>
      <c r="C32" s="203"/>
      <c r="D32" s="203"/>
      <c r="E32" s="204">
        <f>E28/E30</f>
        <v>7.019462686567163</v>
      </c>
    </row>
    <row r="34" spans="1:3" x14ac:dyDescent="0.2">
      <c r="A34" t="s">
        <v>224</v>
      </c>
      <c r="B34" s="172" t="str">
        <f>'Reference case'!B10</f>
        <v>CAUTIOUS</v>
      </c>
      <c r="C34" s="173">
        <f>LOOKUP(B34,A36:A38,B36:B38)</f>
        <v>1</v>
      </c>
    </row>
    <row r="35" spans="1:3" x14ac:dyDescent="0.2">
      <c r="A35" t="s">
        <v>223</v>
      </c>
    </row>
    <row r="36" spans="1:3" x14ac:dyDescent="0.2">
      <c r="A36" s="175" t="s">
        <v>216</v>
      </c>
      <c r="B36" s="47">
        <v>1</v>
      </c>
      <c r="C36" s="271" t="s">
        <v>219</v>
      </c>
    </row>
    <row r="37" spans="1:3" x14ac:dyDescent="0.2">
      <c r="A37" s="176" t="s">
        <v>215</v>
      </c>
      <c r="B37" s="117">
        <f>Reality_check_scaling</f>
        <v>1.42</v>
      </c>
      <c r="C37" s="272"/>
    </row>
    <row r="38" spans="1:3" x14ac:dyDescent="0.2">
      <c r="A38" s="177" t="s">
        <v>218</v>
      </c>
      <c r="B38" s="174">
        <f>1/B37</f>
        <v>0.70422535211267612</v>
      </c>
      <c r="C38" s="279"/>
    </row>
  </sheetData>
  <mergeCells count="1">
    <mergeCell ref="C36:C38"/>
  </mergeCells>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Roman,Regular"&amp;12&amp;A</oddHeader>
    <oddFooter>&amp;C&amp;"Times New Roman,Regular"&amp;12Page &amp;P</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63"/>
  <sheetViews>
    <sheetView zoomScale="140" zoomScaleNormal="140" workbookViewId="0">
      <selection activeCell="E4" sqref="E4"/>
    </sheetView>
  </sheetViews>
  <sheetFormatPr defaultRowHeight="12.75" x14ac:dyDescent="0.2"/>
  <cols>
    <col min="1" max="5" width="11.42578125" customWidth="1"/>
    <col min="6" max="6" width="11.42578125" style="292" customWidth="1"/>
    <col min="7" max="7" width="11.42578125" customWidth="1"/>
    <col min="8" max="8" width="11.42578125" style="43" customWidth="1"/>
    <col min="9" max="1031" width="11.42578125" customWidth="1"/>
  </cols>
  <sheetData>
    <row r="1" spans="1:31" x14ac:dyDescent="0.2">
      <c r="A1" s="2" t="s">
        <v>64</v>
      </c>
      <c r="B1" s="2"/>
      <c r="C1" s="2"/>
      <c r="D1" s="2"/>
      <c r="E1" s="2"/>
      <c r="F1" s="291"/>
      <c r="G1" s="289"/>
      <c r="H1" s="56"/>
    </row>
    <row r="2" spans="1:31" x14ac:dyDescent="0.2">
      <c r="A2" s="23" t="s">
        <v>65</v>
      </c>
      <c r="B2" s="23"/>
      <c r="C2" s="23"/>
      <c r="D2" s="23"/>
      <c r="E2" s="23"/>
      <c r="F2" s="293"/>
      <c r="G2" s="290"/>
      <c r="H2" s="25"/>
      <c r="I2" s="24"/>
    </row>
    <row r="3" spans="1:31" x14ac:dyDescent="0.2">
      <c r="A3" s="22"/>
      <c r="B3" s="22"/>
      <c r="C3" s="23"/>
      <c r="D3" s="23"/>
      <c r="E3" s="23"/>
      <c r="F3" s="293"/>
      <c r="G3" s="290"/>
      <c r="H3" s="25"/>
      <c r="I3" s="24"/>
    </row>
    <row r="4" spans="1:31" x14ac:dyDescent="0.2">
      <c r="A4" s="304" t="s">
        <v>66</v>
      </c>
      <c r="B4" s="305" t="s">
        <v>67</v>
      </c>
      <c r="C4" s="305" t="s">
        <v>68</v>
      </c>
      <c r="D4" s="306" t="s">
        <v>69</v>
      </c>
      <c r="E4" s="27"/>
      <c r="F4" s="259"/>
      <c r="G4" s="27"/>
      <c r="H4" s="56"/>
      <c r="K4" s="25"/>
      <c r="L4" s="25"/>
      <c r="M4" s="26"/>
    </row>
    <row r="5" spans="1:31" x14ac:dyDescent="0.2">
      <c r="A5" s="307">
        <f>'Reference case'!B6</f>
        <v>7.5</v>
      </c>
      <c r="B5" s="308">
        <f>LOOKUP($A5, $A11:$A63, B11:B63)</f>
        <v>74</v>
      </c>
      <c r="C5" s="308">
        <f>LOOKUP($A5, $A11:$A63, C11:C63)</f>
        <v>76</v>
      </c>
      <c r="D5" s="309">
        <f>AVERAGE(B5:C5)</f>
        <v>75</v>
      </c>
      <c r="E5" s="287"/>
      <c r="F5" s="294"/>
      <c r="G5" s="287"/>
      <c r="H5" s="56"/>
    </row>
    <row r="6" spans="1:31" x14ac:dyDescent="0.2">
      <c r="A6" s="303"/>
      <c r="B6" s="27"/>
      <c r="C6" s="27"/>
      <c r="D6" s="287"/>
      <c r="E6" s="287"/>
      <c r="F6" s="294"/>
      <c r="G6" s="287"/>
      <c r="H6" s="56"/>
    </row>
    <row r="7" spans="1:31" x14ac:dyDescent="0.2">
      <c r="A7" t="s">
        <v>131</v>
      </c>
      <c r="B7" s="195">
        <f>'Common Assumptions'!B14</f>
        <v>2</v>
      </c>
      <c r="E7">
        <v>1</v>
      </c>
      <c r="G7" s="73"/>
      <c r="H7" s="56">
        <v>2</v>
      </c>
      <c r="J7" s="28"/>
      <c r="K7">
        <v>3</v>
      </c>
      <c r="N7">
        <v>4</v>
      </c>
      <c r="Q7">
        <v>5</v>
      </c>
      <c r="T7">
        <v>6</v>
      </c>
      <c r="W7">
        <v>7</v>
      </c>
      <c r="Z7">
        <v>8</v>
      </c>
      <c r="AC7">
        <v>9</v>
      </c>
    </row>
    <row r="8" spans="1:31" x14ac:dyDescent="0.2">
      <c r="B8" t="s">
        <v>122</v>
      </c>
      <c r="C8" s="46" t="str">
        <f>'Reference case'!B4</f>
        <v>Cape Paterson</v>
      </c>
      <c r="E8" s="280" t="s">
        <v>306</v>
      </c>
      <c r="F8" s="281"/>
      <c r="G8" s="282"/>
      <c r="H8" s="280" t="s">
        <v>293</v>
      </c>
      <c r="I8" s="281"/>
      <c r="J8" s="282"/>
      <c r="K8" s="280" t="s">
        <v>294</v>
      </c>
      <c r="L8" s="281"/>
      <c r="M8" s="282"/>
      <c r="N8" s="280" t="s">
        <v>295</v>
      </c>
      <c r="O8" s="281"/>
      <c r="P8" s="282"/>
      <c r="Q8" s="280" t="s">
        <v>296</v>
      </c>
      <c r="R8" s="281"/>
      <c r="S8" s="282"/>
      <c r="T8" s="280" t="s">
        <v>297</v>
      </c>
      <c r="U8" s="281"/>
      <c r="V8" s="282"/>
      <c r="W8" s="280" t="s">
        <v>298</v>
      </c>
      <c r="X8" s="281"/>
      <c r="Y8" s="282"/>
      <c r="Z8" s="280" t="s">
        <v>299</v>
      </c>
      <c r="AA8" s="281"/>
      <c r="AB8" s="282"/>
      <c r="AC8" s="280" t="s">
        <v>300</v>
      </c>
      <c r="AD8" s="281"/>
      <c r="AE8" s="282"/>
    </row>
    <row r="9" spans="1:31" ht="40.15" customHeight="1" x14ac:dyDescent="0.2">
      <c r="A9" s="29" t="s">
        <v>70</v>
      </c>
      <c r="B9" s="283" t="s">
        <v>71</v>
      </c>
      <c r="C9" s="284"/>
      <c r="D9" s="29"/>
      <c r="E9" s="283" t="s">
        <v>71</v>
      </c>
      <c r="F9" s="284"/>
      <c r="G9" s="288"/>
      <c r="H9" s="283" t="s">
        <v>71</v>
      </c>
      <c r="I9" s="284"/>
      <c r="J9" s="117"/>
      <c r="K9" s="283" t="s">
        <v>71</v>
      </c>
      <c r="L9" s="284"/>
      <c r="M9" s="117"/>
      <c r="N9" s="283" t="s">
        <v>71</v>
      </c>
      <c r="O9" s="284"/>
      <c r="P9" s="117"/>
      <c r="Q9" s="283" t="s">
        <v>71</v>
      </c>
      <c r="R9" s="284"/>
      <c r="S9" s="117"/>
      <c r="T9" s="283" t="s">
        <v>71</v>
      </c>
      <c r="U9" s="284"/>
      <c r="V9" s="117"/>
      <c r="W9" s="283" t="s">
        <v>71</v>
      </c>
      <c r="X9" s="284"/>
      <c r="Y9" s="117"/>
      <c r="Z9" s="283" t="s">
        <v>71</v>
      </c>
      <c r="AA9" s="284"/>
      <c r="AB9" s="117"/>
      <c r="AC9" s="283" t="s">
        <v>71</v>
      </c>
      <c r="AD9" s="284"/>
      <c r="AE9" s="117"/>
    </row>
    <row r="10" spans="1:31" x14ac:dyDescent="0.2">
      <c r="B10" s="258" t="s">
        <v>72</v>
      </c>
      <c r="C10" s="259" t="s">
        <v>73</v>
      </c>
      <c r="E10" s="258" t="s">
        <v>72</v>
      </c>
      <c r="F10" s="259" t="s">
        <v>73</v>
      </c>
      <c r="G10" s="117"/>
      <c r="H10" s="258" t="s">
        <v>72</v>
      </c>
      <c r="I10" s="259" t="s">
        <v>73</v>
      </c>
      <c r="J10" s="117"/>
      <c r="K10" s="258" t="s">
        <v>72</v>
      </c>
      <c r="L10" s="259" t="s">
        <v>73</v>
      </c>
      <c r="M10" s="117"/>
      <c r="N10" s="258" t="s">
        <v>72</v>
      </c>
      <c r="O10" s="259" t="s">
        <v>73</v>
      </c>
      <c r="P10" s="117"/>
      <c r="Q10" s="258" t="s">
        <v>72</v>
      </c>
      <c r="R10" s="259" t="s">
        <v>73</v>
      </c>
      <c r="S10" s="117"/>
      <c r="T10" s="258" t="s">
        <v>72</v>
      </c>
      <c r="U10" s="259" t="s">
        <v>73</v>
      </c>
      <c r="V10" s="117"/>
      <c r="W10" s="258" t="s">
        <v>72</v>
      </c>
      <c r="X10" s="259" t="s">
        <v>73</v>
      </c>
      <c r="Y10" s="117"/>
      <c r="Z10" s="258" t="s">
        <v>72</v>
      </c>
      <c r="AA10" s="259" t="s">
        <v>73</v>
      </c>
      <c r="AB10" s="117"/>
      <c r="AC10" s="258" t="s">
        <v>72</v>
      </c>
      <c r="AD10" s="259" t="s">
        <v>73</v>
      </c>
      <c r="AE10" s="117"/>
    </row>
    <row r="11" spans="1:31" x14ac:dyDescent="0.2">
      <c r="A11" s="16">
        <v>0</v>
      </c>
      <c r="B11" s="16">
        <f>LOOKUP($B$7,E$7:AD$7,E11:AD11)</f>
        <v>709</v>
      </c>
      <c r="C11" s="16">
        <f>LOOKUP($B$7,E$7:AD$7,F11:AE11)</f>
        <v>10000</v>
      </c>
      <c r="D11" s="297"/>
      <c r="E11" s="43">
        <f t="shared" ref="E11:E62" si="0">F12+1</f>
        <v>877</v>
      </c>
      <c r="F11" s="295">
        <v>10000</v>
      </c>
      <c r="G11" s="298"/>
      <c r="H11" s="43">
        <f t="shared" ref="H11:H42" si="1">I12+1</f>
        <v>709</v>
      </c>
      <c r="I11" s="260">
        <v>10000</v>
      </c>
      <c r="J11" s="117"/>
      <c r="K11" s="43">
        <f t="shared" ref="K11:K62" si="2">L12+1</f>
        <v>677</v>
      </c>
      <c r="L11" s="260">
        <v>10000</v>
      </c>
      <c r="M11" s="117"/>
      <c r="N11" s="43">
        <f t="shared" ref="N11:N62" si="3">O12+1</f>
        <v>287</v>
      </c>
      <c r="O11" s="260">
        <v>10000</v>
      </c>
      <c r="P11" s="117"/>
      <c r="Q11" s="43">
        <f t="shared" ref="Q11:Q62" si="4">R12+1</f>
        <v>677</v>
      </c>
      <c r="R11" s="260">
        <v>10000</v>
      </c>
      <c r="S11" s="117"/>
      <c r="T11" s="43">
        <f t="shared" ref="T11:T62" si="5">U12+1</f>
        <v>677</v>
      </c>
      <c r="U11" s="260">
        <v>10000</v>
      </c>
      <c r="V11" s="117"/>
      <c r="W11" s="43">
        <f t="shared" ref="W11:W62" si="6">X12+1</f>
        <v>677</v>
      </c>
      <c r="X11" s="260">
        <v>10000</v>
      </c>
      <c r="Y11" s="117"/>
      <c r="Z11" s="43">
        <f t="shared" ref="Z11:Z62" si="7">AA12+1</f>
        <v>677</v>
      </c>
      <c r="AA11" s="260">
        <v>10000</v>
      </c>
      <c r="AB11" s="117"/>
      <c r="AC11" s="43">
        <f t="shared" ref="AC11:AC62" si="8">AD12+1</f>
        <v>677</v>
      </c>
      <c r="AD11" s="260">
        <v>10000</v>
      </c>
      <c r="AE11" s="117"/>
    </row>
    <row r="12" spans="1:31" x14ac:dyDescent="0.2">
      <c r="A12" s="30">
        <v>0.5</v>
      </c>
      <c r="B12" s="16">
        <f t="shared" ref="B12:B24" si="9">LOOKUP($B$7,E$7:AD$7,E12:AD12)</f>
        <v>594</v>
      </c>
      <c r="C12" s="16">
        <f t="shared" ref="C12:C24" si="10">LOOKUP($B$7,E$7:AD$7,F12:AE12)</f>
        <v>708</v>
      </c>
      <c r="D12" s="300"/>
      <c r="E12" s="43">
        <f t="shared" si="0"/>
        <v>724</v>
      </c>
      <c r="F12" s="295">
        <v>876</v>
      </c>
      <c r="G12" s="299"/>
      <c r="H12" s="43">
        <f t="shared" si="1"/>
        <v>594</v>
      </c>
      <c r="I12" s="261">
        <v>708</v>
      </c>
      <c r="J12" s="117"/>
      <c r="K12" s="43">
        <f t="shared" si="2"/>
        <v>560</v>
      </c>
      <c r="L12" s="261">
        <v>676</v>
      </c>
      <c r="M12" s="117"/>
      <c r="N12" s="43">
        <f t="shared" si="3"/>
        <v>231</v>
      </c>
      <c r="O12" s="261">
        <v>286</v>
      </c>
      <c r="P12" s="117"/>
      <c r="Q12" s="43">
        <f t="shared" si="4"/>
        <v>560</v>
      </c>
      <c r="R12" s="261">
        <v>676</v>
      </c>
      <c r="S12" s="117"/>
      <c r="T12" s="43">
        <f t="shared" si="5"/>
        <v>560</v>
      </c>
      <c r="U12" s="261">
        <v>676</v>
      </c>
      <c r="V12" s="117"/>
      <c r="W12" s="43">
        <f t="shared" si="6"/>
        <v>560</v>
      </c>
      <c r="X12" s="261">
        <v>676</v>
      </c>
      <c r="Y12" s="117"/>
      <c r="Z12" s="43">
        <f t="shared" si="7"/>
        <v>560</v>
      </c>
      <c r="AA12" s="261">
        <v>676</v>
      </c>
      <c r="AB12" s="117"/>
      <c r="AC12" s="43">
        <f t="shared" si="8"/>
        <v>560</v>
      </c>
      <c r="AD12" s="261">
        <v>676</v>
      </c>
      <c r="AE12" s="117"/>
    </row>
    <row r="13" spans="1:31" x14ac:dyDescent="0.2">
      <c r="A13" s="30">
        <v>1</v>
      </c>
      <c r="B13" s="16">
        <f t="shared" si="9"/>
        <v>498</v>
      </c>
      <c r="C13" s="16">
        <f t="shared" si="10"/>
        <v>593</v>
      </c>
      <c r="D13" s="300"/>
      <c r="E13" s="43">
        <f t="shared" si="0"/>
        <v>599</v>
      </c>
      <c r="F13" s="295">
        <v>723</v>
      </c>
      <c r="G13" s="299"/>
      <c r="H13" s="43">
        <f t="shared" si="1"/>
        <v>498</v>
      </c>
      <c r="I13" s="261">
        <v>593</v>
      </c>
      <c r="J13" s="117"/>
      <c r="K13" s="43">
        <f t="shared" si="2"/>
        <v>463</v>
      </c>
      <c r="L13" s="261">
        <v>559</v>
      </c>
      <c r="M13" s="117"/>
      <c r="N13" s="43">
        <f t="shared" si="3"/>
        <v>185</v>
      </c>
      <c r="O13" s="261">
        <v>230</v>
      </c>
      <c r="P13" s="117"/>
      <c r="Q13" s="43">
        <f t="shared" si="4"/>
        <v>463</v>
      </c>
      <c r="R13" s="261">
        <v>559</v>
      </c>
      <c r="S13" s="117"/>
      <c r="T13" s="43">
        <f t="shared" si="5"/>
        <v>463</v>
      </c>
      <c r="U13" s="261">
        <v>559</v>
      </c>
      <c r="V13" s="117"/>
      <c r="W13" s="43">
        <f t="shared" si="6"/>
        <v>463</v>
      </c>
      <c r="X13" s="261">
        <v>559</v>
      </c>
      <c r="Y13" s="117"/>
      <c r="Z13" s="43">
        <f t="shared" si="7"/>
        <v>463</v>
      </c>
      <c r="AA13" s="261">
        <v>559</v>
      </c>
      <c r="AB13" s="117"/>
      <c r="AC13" s="43">
        <f t="shared" si="8"/>
        <v>463</v>
      </c>
      <c r="AD13" s="261">
        <v>559</v>
      </c>
      <c r="AE13" s="117"/>
    </row>
    <row r="14" spans="1:31" x14ac:dyDescent="0.2">
      <c r="A14" s="30">
        <v>1.5</v>
      </c>
      <c r="B14" s="16">
        <f t="shared" si="9"/>
        <v>419</v>
      </c>
      <c r="C14" s="16">
        <f t="shared" si="10"/>
        <v>497</v>
      </c>
      <c r="D14" s="300"/>
      <c r="E14" s="43">
        <f t="shared" si="0"/>
        <v>499</v>
      </c>
      <c r="F14" s="295">
        <v>598</v>
      </c>
      <c r="G14" s="299"/>
      <c r="H14" s="43">
        <f t="shared" si="1"/>
        <v>419</v>
      </c>
      <c r="I14" s="261">
        <v>497</v>
      </c>
      <c r="J14" s="117"/>
      <c r="K14" s="43">
        <f t="shared" si="2"/>
        <v>385</v>
      </c>
      <c r="L14" s="261">
        <v>462</v>
      </c>
      <c r="M14" s="117"/>
      <c r="N14" s="43">
        <f t="shared" si="3"/>
        <v>149</v>
      </c>
      <c r="O14" s="261">
        <v>184</v>
      </c>
      <c r="P14" s="117"/>
      <c r="Q14" s="43">
        <f t="shared" si="4"/>
        <v>385</v>
      </c>
      <c r="R14" s="261">
        <v>462</v>
      </c>
      <c r="S14" s="117"/>
      <c r="T14" s="43">
        <f t="shared" si="5"/>
        <v>385</v>
      </c>
      <c r="U14" s="261">
        <v>462</v>
      </c>
      <c r="V14" s="117"/>
      <c r="W14" s="43">
        <f t="shared" si="6"/>
        <v>385</v>
      </c>
      <c r="X14" s="261">
        <v>462</v>
      </c>
      <c r="Y14" s="117"/>
      <c r="Z14" s="43">
        <f t="shared" si="7"/>
        <v>385</v>
      </c>
      <c r="AA14" s="261">
        <v>462</v>
      </c>
      <c r="AB14" s="117"/>
      <c r="AC14" s="43">
        <f t="shared" si="8"/>
        <v>385</v>
      </c>
      <c r="AD14" s="261">
        <v>462</v>
      </c>
      <c r="AE14" s="117"/>
    </row>
    <row r="15" spans="1:31" x14ac:dyDescent="0.2">
      <c r="A15" s="30">
        <v>2</v>
      </c>
      <c r="B15" s="16">
        <f t="shared" si="9"/>
        <v>354</v>
      </c>
      <c r="C15" s="16">
        <f t="shared" si="10"/>
        <v>418</v>
      </c>
      <c r="D15" s="300"/>
      <c r="E15" s="43">
        <f t="shared" si="0"/>
        <v>418</v>
      </c>
      <c r="F15" s="295">
        <v>498</v>
      </c>
      <c r="G15" s="299"/>
      <c r="H15" s="43">
        <f t="shared" si="1"/>
        <v>354</v>
      </c>
      <c r="I15" s="261">
        <v>418</v>
      </c>
      <c r="J15" s="117"/>
      <c r="K15" s="43">
        <f t="shared" si="2"/>
        <v>322</v>
      </c>
      <c r="L15" s="261">
        <v>384</v>
      </c>
      <c r="M15" s="117"/>
      <c r="N15" s="43">
        <f t="shared" si="3"/>
        <v>121</v>
      </c>
      <c r="O15" s="261">
        <v>148</v>
      </c>
      <c r="P15" s="117"/>
      <c r="Q15" s="43">
        <f t="shared" si="4"/>
        <v>322</v>
      </c>
      <c r="R15" s="261">
        <v>384</v>
      </c>
      <c r="S15" s="117"/>
      <c r="T15" s="43">
        <f t="shared" si="5"/>
        <v>322</v>
      </c>
      <c r="U15" s="261">
        <v>384</v>
      </c>
      <c r="V15" s="117"/>
      <c r="W15" s="43">
        <f t="shared" si="6"/>
        <v>322</v>
      </c>
      <c r="X15" s="261">
        <v>384</v>
      </c>
      <c r="Y15" s="117"/>
      <c r="Z15" s="43">
        <f t="shared" si="7"/>
        <v>322</v>
      </c>
      <c r="AA15" s="261">
        <v>384</v>
      </c>
      <c r="AB15" s="117"/>
      <c r="AC15" s="43">
        <f t="shared" si="8"/>
        <v>322</v>
      </c>
      <c r="AD15" s="261">
        <v>384</v>
      </c>
      <c r="AE15" s="117"/>
    </row>
    <row r="16" spans="1:31" x14ac:dyDescent="0.2">
      <c r="A16" s="30">
        <v>2.5</v>
      </c>
      <c r="B16" s="16">
        <f t="shared" si="9"/>
        <v>302</v>
      </c>
      <c r="C16" s="16">
        <f t="shared" si="10"/>
        <v>353</v>
      </c>
      <c r="D16" s="300"/>
      <c r="E16" s="43">
        <f t="shared" si="0"/>
        <v>355</v>
      </c>
      <c r="F16" s="295">
        <v>417</v>
      </c>
      <c r="G16" s="299"/>
      <c r="H16" s="43">
        <f t="shared" si="1"/>
        <v>302</v>
      </c>
      <c r="I16" s="261">
        <v>353</v>
      </c>
      <c r="J16" s="117"/>
      <c r="K16" s="43">
        <f t="shared" si="2"/>
        <v>272</v>
      </c>
      <c r="L16" s="261">
        <v>321</v>
      </c>
      <c r="M16" s="117"/>
      <c r="N16" s="43">
        <f t="shared" si="3"/>
        <v>99</v>
      </c>
      <c r="O16" s="261">
        <v>120</v>
      </c>
      <c r="P16" s="117"/>
      <c r="Q16" s="43">
        <f t="shared" si="4"/>
        <v>272</v>
      </c>
      <c r="R16" s="261">
        <v>321</v>
      </c>
      <c r="S16" s="117"/>
      <c r="T16" s="43">
        <f t="shared" si="5"/>
        <v>272</v>
      </c>
      <c r="U16" s="261">
        <v>321</v>
      </c>
      <c r="V16" s="117"/>
      <c r="W16" s="43">
        <f t="shared" si="6"/>
        <v>272</v>
      </c>
      <c r="X16" s="261">
        <v>321</v>
      </c>
      <c r="Y16" s="117"/>
      <c r="Z16" s="43">
        <f t="shared" si="7"/>
        <v>272</v>
      </c>
      <c r="AA16" s="261">
        <v>321</v>
      </c>
      <c r="AB16" s="117"/>
      <c r="AC16" s="43">
        <f t="shared" si="8"/>
        <v>272</v>
      </c>
      <c r="AD16" s="261">
        <v>321</v>
      </c>
      <c r="AE16" s="117"/>
    </row>
    <row r="17" spans="1:31" x14ac:dyDescent="0.2">
      <c r="A17" s="30">
        <v>3</v>
      </c>
      <c r="B17" s="16">
        <f t="shared" si="9"/>
        <v>258</v>
      </c>
      <c r="C17" s="16">
        <f t="shared" si="10"/>
        <v>301</v>
      </c>
      <c r="D17" s="300"/>
      <c r="E17" s="43">
        <f t="shared" si="0"/>
        <v>304</v>
      </c>
      <c r="F17" s="295">
        <v>354</v>
      </c>
      <c r="G17" s="299"/>
      <c r="H17" s="43">
        <f t="shared" si="1"/>
        <v>258</v>
      </c>
      <c r="I17" s="261">
        <v>301</v>
      </c>
      <c r="J17" s="117"/>
      <c r="K17" s="43">
        <f t="shared" si="2"/>
        <v>231</v>
      </c>
      <c r="L17" s="261">
        <v>271</v>
      </c>
      <c r="M17" s="117"/>
      <c r="N17" s="43">
        <f t="shared" si="3"/>
        <v>82</v>
      </c>
      <c r="O17" s="261">
        <v>98</v>
      </c>
      <c r="P17" s="117"/>
      <c r="Q17" s="43">
        <f t="shared" si="4"/>
        <v>231</v>
      </c>
      <c r="R17" s="261">
        <v>271</v>
      </c>
      <c r="S17" s="117"/>
      <c r="T17" s="43">
        <f t="shared" si="5"/>
        <v>231</v>
      </c>
      <c r="U17" s="261">
        <v>271</v>
      </c>
      <c r="V17" s="117"/>
      <c r="W17" s="43">
        <f t="shared" si="6"/>
        <v>231</v>
      </c>
      <c r="X17" s="261">
        <v>271</v>
      </c>
      <c r="Y17" s="117"/>
      <c r="Z17" s="43">
        <f t="shared" si="7"/>
        <v>231</v>
      </c>
      <c r="AA17" s="261">
        <v>271</v>
      </c>
      <c r="AB17" s="117"/>
      <c r="AC17" s="43">
        <f t="shared" si="8"/>
        <v>231</v>
      </c>
      <c r="AD17" s="261">
        <v>271</v>
      </c>
      <c r="AE17" s="117"/>
    </row>
    <row r="18" spans="1:31" x14ac:dyDescent="0.2">
      <c r="A18" s="30">
        <v>3.5</v>
      </c>
      <c r="B18" s="16">
        <f t="shared" si="9"/>
        <v>223</v>
      </c>
      <c r="C18" s="16">
        <f t="shared" si="10"/>
        <v>257</v>
      </c>
      <c r="D18" s="300"/>
      <c r="E18" s="43">
        <f t="shared" si="0"/>
        <v>263</v>
      </c>
      <c r="F18" s="295">
        <v>303</v>
      </c>
      <c r="G18" s="299"/>
      <c r="H18" s="43">
        <f t="shared" si="1"/>
        <v>223</v>
      </c>
      <c r="I18" s="261">
        <v>257</v>
      </c>
      <c r="J18" s="117"/>
      <c r="K18" s="43">
        <f t="shared" si="2"/>
        <v>199</v>
      </c>
      <c r="L18" s="261">
        <v>230</v>
      </c>
      <c r="M18" s="117"/>
      <c r="N18" s="43">
        <f t="shared" si="3"/>
        <v>69</v>
      </c>
      <c r="O18" s="261">
        <v>81</v>
      </c>
      <c r="P18" s="117"/>
      <c r="Q18" s="43">
        <f t="shared" si="4"/>
        <v>199</v>
      </c>
      <c r="R18" s="261">
        <v>230</v>
      </c>
      <c r="S18" s="117"/>
      <c r="T18" s="43">
        <f t="shared" si="5"/>
        <v>199</v>
      </c>
      <c r="U18" s="261">
        <v>230</v>
      </c>
      <c r="V18" s="117"/>
      <c r="W18" s="43">
        <f t="shared" si="6"/>
        <v>199</v>
      </c>
      <c r="X18" s="261">
        <v>230</v>
      </c>
      <c r="Y18" s="117"/>
      <c r="Z18" s="43">
        <f t="shared" si="7"/>
        <v>199</v>
      </c>
      <c r="AA18" s="261">
        <v>230</v>
      </c>
      <c r="AB18" s="117"/>
      <c r="AC18" s="43">
        <f t="shared" si="8"/>
        <v>199</v>
      </c>
      <c r="AD18" s="261">
        <v>230</v>
      </c>
      <c r="AE18" s="117"/>
    </row>
    <row r="19" spans="1:31" x14ac:dyDescent="0.2">
      <c r="A19" s="30">
        <v>4</v>
      </c>
      <c r="B19" s="16">
        <f t="shared" si="9"/>
        <v>194</v>
      </c>
      <c r="C19" s="16">
        <f t="shared" si="10"/>
        <v>222</v>
      </c>
      <c r="D19" s="300"/>
      <c r="E19" s="43">
        <f t="shared" si="0"/>
        <v>230</v>
      </c>
      <c r="F19" s="295">
        <v>262</v>
      </c>
      <c r="G19" s="299"/>
      <c r="H19" s="43">
        <f t="shared" si="1"/>
        <v>194</v>
      </c>
      <c r="I19" s="261">
        <v>222</v>
      </c>
      <c r="J19" s="117"/>
      <c r="K19" s="43">
        <f t="shared" si="2"/>
        <v>172</v>
      </c>
      <c r="L19" s="261">
        <v>198</v>
      </c>
      <c r="M19" s="117"/>
      <c r="N19" s="43">
        <f t="shared" si="3"/>
        <v>59</v>
      </c>
      <c r="O19" s="261">
        <v>68</v>
      </c>
      <c r="P19" s="117"/>
      <c r="Q19" s="43">
        <f t="shared" si="4"/>
        <v>172</v>
      </c>
      <c r="R19" s="261">
        <v>198</v>
      </c>
      <c r="S19" s="117"/>
      <c r="T19" s="43">
        <f t="shared" si="5"/>
        <v>172</v>
      </c>
      <c r="U19" s="261">
        <v>198</v>
      </c>
      <c r="V19" s="117"/>
      <c r="W19" s="43">
        <f t="shared" si="6"/>
        <v>172</v>
      </c>
      <c r="X19" s="261">
        <v>198</v>
      </c>
      <c r="Y19" s="117"/>
      <c r="Z19" s="43">
        <f t="shared" si="7"/>
        <v>172</v>
      </c>
      <c r="AA19" s="261">
        <v>198</v>
      </c>
      <c r="AB19" s="117"/>
      <c r="AC19" s="43">
        <f t="shared" si="8"/>
        <v>172</v>
      </c>
      <c r="AD19" s="261">
        <v>198</v>
      </c>
      <c r="AE19" s="117"/>
    </row>
    <row r="20" spans="1:31" x14ac:dyDescent="0.2">
      <c r="A20" s="30">
        <v>4.5</v>
      </c>
      <c r="B20" s="16">
        <f t="shared" si="9"/>
        <v>169</v>
      </c>
      <c r="C20" s="16">
        <f t="shared" si="10"/>
        <v>193</v>
      </c>
      <c r="D20" s="300"/>
      <c r="E20" s="43">
        <f t="shared" si="0"/>
        <v>203</v>
      </c>
      <c r="F20" s="295">
        <v>229</v>
      </c>
      <c r="G20" s="299"/>
      <c r="H20" s="43">
        <f t="shared" si="1"/>
        <v>169</v>
      </c>
      <c r="I20" s="261">
        <v>193</v>
      </c>
      <c r="J20" s="117"/>
      <c r="K20" s="43">
        <f t="shared" si="2"/>
        <v>150</v>
      </c>
      <c r="L20" s="261">
        <v>171</v>
      </c>
      <c r="M20" s="117"/>
      <c r="N20" s="43">
        <f t="shared" si="3"/>
        <v>51</v>
      </c>
      <c r="O20" s="261">
        <v>58</v>
      </c>
      <c r="P20" s="117"/>
      <c r="Q20" s="43">
        <f t="shared" si="4"/>
        <v>150</v>
      </c>
      <c r="R20" s="261">
        <v>171</v>
      </c>
      <c r="S20" s="117"/>
      <c r="T20" s="43">
        <f t="shared" si="5"/>
        <v>150</v>
      </c>
      <c r="U20" s="261">
        <v>171</v>
      </c>
      <c r="V20" s="117"/>
      <c r="W20" s="43">
        <f t="shared" si="6"/>
        <v>150</v>
      </c>
      <c r="X20" s="261">
        <v>171</v>
      </c>
      <c r="Y20" s="117"/>
      <c r="Z20" s="43">
        <f t="shared" si="7"/>
        <v>150</v>
      </c>
      <c r="AA20" s="261">
        <v>171</v>
      </c>
      <c r="AB20" s="117"/>
      <c r="AC20" s="43">
        <f t="shared" si="8"/>
        <v>150</v>
      </c>
      <c r="AD20" s="261">
        <v>171</v>
      </c>
      <c r="AE20" s="117"/>
    </row>
    <row r="21" spans="1:31" x14ac:dyDescent="0.2">
      <c r="A21" s="30">
        <v>5</v>
      </c>
      <c r="B21" s="16">
        <f t="shared" si="9"/>
        <v>147</v>
      </c>
      <c r="C21" s="16">
        <f t="shared" si="10"/>
        <v>168</v>
      </c>
      <c r="D21" s="300"/>
      <c r="E21" s="43">
        <f t="shared" si="0"/>
        <v>178</v>
      </c>
      <c r="F21" s="295">
        <v>202</v>
      </c>
      <c r="G21" s="299"/>
      <c r="H21" s="43">
        <f t="shared" si="1"/>
        <v>147</v>
      </c>
      <c r="I21" s="261">
        <v>168</v>
      </c>
      <c r="J21" s="117"/>
      <c r="K21" s="43">
        <f t="shared" si="2"/>
        <v>132</v>
      </c>
      <c r="L21" s="261">
        <v>149</v>
      </c>
      <c r="M21" s="117"/>
      <c r="N21" s="43">
        <f t="shared" si="3"/>
        <v>45</v>
      </c>
      <c r="O21" s="261">
        <v>50</v>
      </c>
      <c r="P21" s="117"/>
      <c r="Q21" s="43">
        <f t="shared" si="4"/>
        <v>132</v>
      </c>
      <c r="R21" s="261">
        <v>149</v>
      </c>
      <c r="S21" s="117"/>
      <c r="T21" s="43">
        <f t="shared" si="5"/>
        <v>132</v>
      </c>
      <c r="U21" s="261">
        <v>149</v>
      </c>
      <c r="V21" s="117"/>
      <c r="W21" s="43">
        <f t="shared" si="6"/>
        <v>132</v>
      </c>
      <c r="X21" s="261">
        <v>149</v>
      </c>
      <c r="Y21" s="117"/>
      <c r="Z21" s="43">
        <f t="shared" si="7"/>
        <v>132</v>
      </c>
      <c r="AA21" s="261">
        <v>149</v>
      </c>
      <c r="AB21" s="117"/>
      <c r="AC21" s="43">
        <f t="shared" si="8"/>
        <v>132</v>
      </c>
      <c r="AD21" s="261">
        <v>149</v>
      </c>
      <c r="AE21" s="117"/>
    </row>
    <row r="22" spans="1:31" x14ac:dyDescent="0.2">
      <c r="A22" s="30">
        <v>5.5</v>
      </c>
      <c r="B22" s="16">
        <f t="shared" si="9"/>
        <v>128</v>
      </c>
      <c r="C22" s="16">
        <f t="shared" si="10"/>
        <v>146</v>
      </c>
      <c r="D22" s="300"/>
      <c r="E22" s="43">
        <f t="shared" si="0"/>
        <v>156</v>
      </c>
      <c r="F22" s="295">
        <v>177</v>
      </c>
      <c r="G22" s="299"/>
      <c r="H22" s="43">
        <f t="shared" si="1"/>
        <v>128</v>
      </c>
      <c r="I22" s="261">
        <v>146</v>
      </c>
      <c r="J22" s="117"/>
      <c r="K22" s="43">
        <f t="shared" si="2"/>
        <v>115</v>
      </c>
      <c r="L22" s="261">
        <v>131</v>
      </c>
      <c r="M22" s="117"/>
      <c r="N22" s="43">
        <f t="shared" si="3"/>
        <v>40</v>
      </c>
      <c r="O22" s="261">
        <v>44</v>
      </c>
      <c r="P22" s="117"/>
      <c r="Q22" s="43">
        <f t="shared" si="4"/>
        <v>115</v>
      </c>
      <c r="R22" s="261">
        <v>131</v>
      </c>
      <c r="S22" s="117"/>
      <c r="T22" s="43">
        <f t="shared" si="5"/>
        <v>115</v>
      </c>
      <c r="U22" s="261">
        <v>131</v>
      </c>
      <c r="V22" s="117"/>
      <c r="W22" s="43">
        <f t="shared" si="6"/>
        <v>115</v>
      </c>
      <c r="X22" s="261">
        <v>131</v>
      </c>
      <c r="Y22" s="117"/>
      <c r="Z22" s="43">
        <f t="shared" si="7"/>
        <v>115</v>
      </c>
      <c r="AA22" s="261">
        <v>131</v>
      </c>
      <c r="AB22" s="117"/>
      <c r="AC22" s="43">
        <f t="shared" si="8"/>
        <v>115</v>
      </c>
      <c r="AD22" s="261">
        <v>131</v>
      </c>
      <c r="AE22" s="117"/>
    </row>
    <row r="23" spans="1:31" x14ac:dyDescent="0.2">
      <c r="A23" s="30">
        <v>6</v>
      </c>
      <c r="B23" s="16">
        <f t="shared" si="9"/>
        <v>124</v>
      </c>
      <c r="C23" s="16">
        <f t="shared" si="10"/>
        <v>127</v>
      </c>
      <c r="D23" s="300"/>
      <c r="E23" s="247">
        <f t="shared" si="0"/>
        <v>152</v>
      </c>
      <c r="F23" s="295">
        <v>155</v>
      </c>
      <c r="G23" s="299"/>
      <c r="H23" s="247">
        <f t="shared" si="1"/>
        <v>124</v>
      </c>
      <c r="I23" s="261">
        <v>127</v>
      </c>
      <c r="J23" s="117"/>
      <c r="K23" s="247">
        <f t="shared" si="2"/>
        <v>112</v>
      </c>
      <c r="L23" s="261">
        <v>114</v>
      </c>
      <c r="M23" s="117"/>
      <c r="N23" s="247">
        <f t="shared" si="3"/>
        <v>39</v>
      </c>
      <c r="O23" s="261">
        <v>39</v>
      </c>
      <c r="P23" s="117"/>
      <c r="Q23" s="247">
        <f t="shared" si="4"/>
        <v>112</v>
      </c>
      <c r="R23" s="261">
        <v>114</v>
      </c>
      <c r="S23" s="117"/>
      <c r="T23" s="247">
        <f t="shared" si="5"/>
        <v>112</v>
      </c>
      <c r="U23" s="261">
        <v>114</v>
      </c>
      <c r="V23" s="117"/>
      <c r="W23" s="247">
        <f t="shared" si="6"/>
        <v>112</v>
      </c>
      <c r="X23" s="261">
        <v>114</v>
      </c>
      <c r="Y23" s="117"/>
      <c r="Z23" s="247">
        <f t="shared" si="7"/>
        <v>112</v>
      </c>
      <c r="AA23" s="261">
        <v>114</v>
      </c>
      <c r="AB23" s="117"/>
      <c r="AC23" s="247">
        <f t="shared" si="8"/>
        <v>112</v>
      </c>
      <c r="AD23" s="261">
        <v>114</v>
      </c>
      <c r="AE23" s="117"/>
    </row>
    <row r="24" spans="1:31" x14ac:dyDescent="0.2">
      <c r="A24">
        <v>6.1</v>
      </c>
      <c r="B24" s="297">
        <f t="shared" si="9"/>
        <v>121</v>
      </c>
      <c r="C24" s="297">
        <f t="shared" si="10"/>
        <v>123</v>
      </c>
      <c r="D24" s="301"/>
      <c r="E24" s="247">
        <f t="shared" si="0"/>
        <v>148</v>
      </c>
      <c r="F24" s="262">
        <f>ROUND(F23-1*(F23-F28)/5,0)</f>
        <v>151</v>
      </c>
      <c r="G24" s="117" t="s">
        <v>74</v>
      </c>
      <c r="H24" s="247">
        <f t="shared" si="1"/>
        <v>121</v>
      </c>
      <c r="I24" s="262">
        <f>ROUND(I23-1*(I23-I28)/5,0)</f>
        <v>123</v>
      </c>
      <c r="J24" s="117" t="s">
        <v>74</v>
      </c>
      <c r="K24" s="247">
        <f t="shared" si="2"/>
        <v>109</v>
      </c>
      <c r="L24" s="262">
        <f>ROUND(L23-1*(L23-L28)/5,0)</f>
        <v>111</v>
      </c>
      <c r="M24" s="117" t="s">
        <v>74</v>
      </c>
      <c r="N24" s="247">
        <f t="shared" si="3"/>
        <v>38</v>
      </c>
      <c r="O24" s="262">
        <f>ROUND(O23-1*(O23-O28)/5,0)</f>
        <v>38</v>
      </c>
      <c r="P24" s="117" t="s">
        <v>74</v>
      </c>
      <c r="Q24" s="247">
        <f t="shared" si="4"/>
        <v>109</v>
      </c>
      <c r="R24" s="262">
        <f>ROUND(R23-1*(R23-R28)/5,0)</f>
        <v>111</v>
      </c>
      <c r="S24" s="117" t="s">
        <v>74</v>
      </c>
      <c r="T24" s="247">
        <f t="shared" si="5"/>
        <v>109</v>
      </c>
      <c r="U24" s="262">
        <f>ROUND(U23-1*(U23-U28)/5,0)</f>
        <v>111</v>
      </c>
      <c r="V24" s="117" t="s">
        <v>74</v>
      </c>
      <c r="W24" s="247">
        <f t="shared" si="6"/>
        <v>109</v>
      </c>
      <c r="X24" s="262">
        <f>ROUND(X23-1*(X23-X28)/5,0)</f>
        <v>111</v>
      </c>
      <c r="Y24" s="117" t="s">
        <v>74</v>
      </c>
      <c r="Z24" s="247">
        <f t="shared" si="7"/>
        <v>109</v>
      </c>
      <c r="AA24" s="262">
        <f>ROUND(AA23-1*(AA23-AA28)/5,0)</f>
        <v>111</v>
      </c>
      <c r="AB24" s="117" t="s">
        <v>74</v>
      </c>
      <c r="AC24" s="247">
        <f t="shared" si="8"/>
        <v>109</v>
      </c>
      <c r="AD24" s="262">
        <f>ROUND(AD23-1*(AD23-AD28)/5,0)</f>
        <v>111</v>
      </c>
      <c r="AE24" s="117" t="s">
        <v>74</v>
      </c>
    </row>
    <row r="25" spans="1:31" x14ac:dyDescent="0.2">
      <c r="A25" s="31">
        <v>6.2</v>
      </c>
      <c r="B25" s="297">
        <f t="shared" ref="B25:B63" si="11">LOOKUP($B$7,E$7:AD$7,E25:AD25)</f>
        <v>117</v>
      </c>
      <c r="C25" s="297">
        <f t="shared" ref="C25:C63" si="12">LOOKUP($B$7,E$7:AD$7,F25:AE25)</f>
        <v>120</v>
      </c>
      <c r="D25" s="302"/>
      <c r="E25" s="247">
        <f t="shared" si="0"/>
        <v>143</v>
      </c>
      <c r="F25" s="49">
        <f>ROUND(F23-2*(F23-F28)/5,0)</f>
        <v>147</v>
      </c>
      <c r="G25" s="117" t="s">
        <v>74</v>
      </c>
      <c r="H25" s="247">
        <f t="shared" si="1"/>
        <v>117</v>
      </c>
      <c r="I25" s="49">
        <f>ROUND(I23-2*(I23-I28)/5,0)</f>
        <v>120</v>
      </c>
      <c r="J25" s="117" t="s">
        <v>74</v>
      </c>
      <c r="K25" s="247">
        <f t="shared" si="2"/>
        <v>105</v>
      </c>
      <c r="L25" s="49">
        <f>ROUND(L23-2*(L23-L28)/5,0)</f>
        <v>108</v>
      </c>
      <c r="M25" s="117" t="s">
        <v>74</v>
      </c>
      <c r="N25" s="247">
        <f t="shared" si="3"/>
        <v>38</v>
      </c>
      <c r="O25" s="49">
        <f>ROUND(O23-2*(O23-O28)/5,0)</f>
        <v>37</v>
      </c>
      <c r="P25" s="117" t="s">
        <v>74</v>
      </c>
      <c r="Q25" s="247">
        <f t="shared" si="4"/>
        <v>105</v>
      </c>
      <c r="R25" s="49">
        <f>ROUND(R23-2*(R23-R28)/5,0)</f>
        <v>108</v>
      </c>
      <c r="S25" s="117" t="s">
        <v>74</v>
      </c>
      <c r="T25" s="247">
        <f t="shared" si="5"/>
        <v>105</v>
      </c>
      <c r="U25" s="49">
        <f>ROUND(U23-2*(U23-U28)/5,0)</f>
        <v>108</v>
      </c>
      <c r="V25" s="117" t="s">
        <v>74</v>
      </c>
      <c r="W25" s="247">
        <f t="shared" si="6"/>
        <v>105</v>
      </c>
      <c r="X25" s="49">
        <f>ROUND(X23-2*(X23-X28)/5,0)</f>
        <v>108</v>
      </c>
      <c r="Y25" s="117" t="s">
        <v>74</v>
      </c>
      <c r="Z25" s="247">
        <f t="shared" si="7"/>
        <v>105</v>
      </c>
      <c r="AA25" s="49">
        <f>ROUND(AA23-2*(AA23-AA28)/5,0)</f>
        <v>108</v>
      </c>
      <c r="AB25" s="117" t="s">
        <v>74</v>
      </c>
      <c r="AC25" s="247">
        <f t="shared" si="8"/>
        <v>105</v>
      </c>
      <c r="AD25" s="49">
        <f>ROUND(AD23-2*(AD23-AD28)/5,0)</f>
        <v>108</v>
      </c>
      <c r="AE25" s="117" t="s">
        <v>74</v>
      </c>
    </row>
    <row r="26" spans="1:31" x14ac:dyDescent="0.2">
      <c r="A26">
        <v>6.3</v>
      </c>
      <c r="B26" s="297">
        <f t="shared" si="11"/>
        <v>114</v>
      </c>
      <c r="C26" s="297">
        <f t="shared" si="12"/>
        <v>116</v>
      </c>
      <c r="D26" s="301"/>
      <c r="E26" s="247">
        <f t="shared" si="0"/>
        <v>139</v>
      </c>
      <c r="F26" s="49">
        <f>ROUND(F23-3*(F23-F28)/5,0)</f>
        <v>142</v>
      </c>
      <c r="G26" s="117" t="s">
        <v>74</v>
      </c>
      <c r="H26" s="247">
        <f t="shared" si="1"/>
        <v>114</v>
      </c>
      <c r="I26" s="49">
        <f>ROUND(I23-3*(I23-I28)/5,0)</f>
        <v>116</v>
      </c>
      <c r="J26" s="117" t="s">
        <v>74</v>
      </c>
      <c r="K26" s="247">
        <f t="shared" si="2"/>
        <v>102</v>
      </c>
      <c r="L26" s="49">
        <f>ROUND(L23-3*(L23-L28)/5,0)</f>
        <v>104</v>
      </c>
      <c r="M26" s="117" t="s">
        <v>74</v>
      </c>
      <c r="N26" s="247">
        <f t="shared" si="3"/>
        <v>37</v>
      </c>
      <c r="O26" s="49">
        <f>ROUND(O23-3*(O23-O28)/5,0)</f>
        <v>37</v>
      </c>
      <c r="P26" s="117" t="s">
        <v>74</v>
      </c>
      <c r="Q26" s="247">
        <f t="shared" si="4"/>
        <v>102</v>
      </c>
      <c r="R26" s="49">
        <f>ROUND(R23-3*(R23-R28)/5,0)</f>
        <v>104</v>
      </c>
      <c r="S26" s="117" t="s">
        <v>74</v>
      </c>
      <c r="T26" s="247">
        <f t="shared" si="5"/>
        <v>102</v>
      </c>
      <c r="U26" s="49">
        <f>ROUND(U23-3*(U23-U28)/5,0)</f>
        <v>104</v>
      </c>
      <c r="V26" s="117" t="s">
        <v>74</v>
      </c>
      <c r="W26" s="247">
        <f t="shared" si="6"/>
        <v>102</v>
      </c>
      <c r="X26" s="49">
        <f>ROUND(X23-3*(X23-X28)/5,0)</f>
        <v>104</v>
      </c>
      <c r="Y26" s="117" t="s">
        <v>74</v>
      </c>
      <c r="Z26" s="247">
        <f t="shared" si="7"/>
        <v>102</v>
      </c>
      <c r="AA26" s="49">
        <f>ROUND(AA23-3*(AA23-AA28)/5,0)</f>
        <v>104</v>
      </c>
      <c r="AB26" s="117" t="s">
        <v>74</v>
      </c>
      <c r="AC26" s="247">
        <f t="shared" si="8"/>
        <v>102</v>
      </c>
      <c r="AD26" s="49">
        <f>ROUND(AD23-3*(AD23-AD28)/5,0)</f>
        <v>104</v>
      </c>
      <c r="AE26" s="117" t="s">
        <v>74</v>
      </c>
    </row>
    <row r="27" spans="1:31" x14ac:dyDescent="0.2">
      <c r="A27" s="31">
        <v>6.4</v>
      </c>
      <c r="B27" s="297">
        <f t="shared" si="11"/>
        <v>110</v>
      </c>
      <c r="C27" s="297">
        <f t="shared" si="12"/>
        <v>113</v>
      </c>
      <c r="D27" s="302"/>
      <c r="E27" s="247">
        <f t="shared" si="0"/>
        <v>135</v>
      </c>
      <c r="F27" s="49">
        <f>ROUND(F23-4*(F23-F28)/5,0)</f>
        <v>138</v>
      </c>
      <c r="G27" s="117" t="s">
        <v>74</v>
      </c>
      <c r="H27" s="247">
        <f t="shared" si="1"/>
        <v>110</v>
      </c>
      <c r="I27" s="49">
        <f>ROUND(I23-4*(I23-I28)/5,0)</f>
        <v>113</v>
      </c>
      <c r="J27" s="117" t="s">
        <v>74</v>
      </c>
      <c r="K27" s="247">
        <f t="shared" si="2"/>
        <v>99</v>
      </c>
      <c r="L27" s="49">
        <f>ROUND(L23-4*(L23-L28)/5,0)</f>
        <v>101</v>
      </c>
      <c r="M27" s="117" t="s">
        <v>74</v>
      </c>
      <c r="N27" s="247">
        <f t="shared" si="3"/>
        <v>36</v>
      </c>
      <c r="O27" s="49">
        <f>ROUND(O23-4*(O23-O28)/5,0)</f>
        <v>36</v>
      </c>
      <c r="P27" s="117" t="s">
        <v>74</v>
      </c>
      <c r="Q27" s="247">
        <f t="shared" si="4"/>
        <v>99</v>
      </c>
      <c r="R27" s="49">
        <f>ROUND(R23-4*(R23-R28)/5,0)</f>
        <v>101</v>
      </c>
      <c r="S27" s="117" t="s">
        <v>74</v>
      </c>
      <c r="T27" s="247">
        <f t="shared" si="5"/>
        <v>99</v>
      </c>
      <c r="U27" s="49">
        <f>ROUND(U23-4*(U23-U28)/5,0)</f>
        <v>101</v>
      </c>
      <c r="V27" s="117" t="s">
        <v>74</v>
      </c>
      <c r="W27" s="247">
        <f t="shared" si="6"/>
        <v>99</v>
      </c>
      <c r="X27" s="49">
        <f>ROUND(X23-4*(X23-X28)/5,0)</f>
        <v>101</v>
      </c>
      <c r="Y27" s="117" t="s">
        <v>74</v>
      </c>
      <c r="Z27" s="247">
        <f t="shared" si="7"/>
        <v>99</v>
      </c>
      <c r="AA27" s="49">
        <f>ROUND(AA23-4*(AA23-AA28)/5,0)</f>
        <v>101</v>
      </c>
      <c r="AB27" s="117" t="s">
        <v>74</v>
      </c>
      <c r="AC27" s="247">
        <f t="shared" si="8"/>
        <v>99</v>
      </c>
      <c r="AD27" s="49">
        <f>ROUND(AD23-4*(AD23-AD28)/5,0)</f>
        <v>101</v>
      </c>
      <c r="AE27" s="117" t="s">
        <v>74</v>
      </c>
    </row>
    <row r="28" spans="1:31" x14ac:dyDescent="0.2">
      <c r="A28" s="30">
        <v>6.5</v>
      </c>
      <c r="B28" s="16">
        <f t="shared" si="11"/>
        <v>107</v>
      </c>
      <c r="C28" s="16">
        <f t="shared" si="12"/>
        <v>109</v>
      </c>
      <c r="D28" s="300"/>
      <c r="E28" s="247">
        <f t="shared" si="0"/>
        <v>131</v>
      </c>
      <c r="F28" s="295">
        <v>134</v>
      </c>
      <c r="G28" s="117"/>
      <c r="H28" s="247">
        <f t="shared" si="1"/>
        <v>107</v>
      </c>
      <c r="I28" s="261">
        <v>109</v>
      </c>
      <c r="J28" s="117"/>
      <c r="K28" s="247">
        <f t="shared" si="2"/>
        <v>96</v>
      </c>
      <c r="L28" s="261">
        <v>98</v>
      </c>
      <c r="M28" s="117"/>
      <c r="N28" s="247">
        <f t="shared" si="3"/>
        <v>35</v>
      </c>
      <c r="O28" s="261">
        <v>35</v>
      </c>
      <c r="P28" s="117"/>
      <c r="Q28" s="247">
        <f t="shared" si="4"/>
        <v>96</v>
      </c>
      <c r="R28" s="261">
        <v>98</v>
      </c>
      <c r="S28" s="117"/>
      <c r="T28" s="247">
        <f t="shared" si="5"/>
        <v>96</v>
      </c>
      <c r="U28" s="261">
        <v>98</v>
      </c>
      <c r="V28" s="117"/>
      <c r="W28" s="247">
        <f t="shared" si="6"/>
        <v>96</v>
      </c>
      <c r="X28" s="261">
        <v>98</v>
      </c>
      <c r="Y28" s="117"/>
      <c r="Z28" s="247">
        <f t="shared" si="7"/>
        <v>96</v>
      </c>
      <c r="AA28" s="261">
        <v>98</v>
      </c>
      <c r="AB28" s="117"/>
      <c r="AC28" s="247">
        <f t="shared" si="8"/>
        <v>96</v>
      </c>
      <c r="AD28" s="261">
        <v>98</v>
      </c>
      <c r="AE28" s="117"/>
    </row>
    <row r="29" spans="1:31" x14ac:dyDescent="0.2">
      <c r="A29">
        <v>6.6</v>
      </c>
      <c r="B29" s="297">
        <f t="shared" si="11"/>
        <v>103</v>
      </c>
      <c r="C29" s="297">
        <f t="shared" si="12"/>
        <v>106</v>
      </c>
      <c r="D29" s="301"/>
      <c r="E29" s="247">
        <f t="shared" si="0"/>
        <v>127</v>
      </c>
      <c r="F29" s="262">
        <f>ROUND(F28-1*(F28-F33)/5,0)</f>
        <v>130</v>
      </c>
      <c r="G29" s="117" t="s">
        <v>74</v>
      </c>
      <c r="H29" s="247">
        <f t="shared" si="1"/>
        <v>103</v>
      </c>
      <c r="I29" s="262">
        <f>ROUND(I28-1*(I28-I33)/5,0)</f>
        <v>106</v>
      </c>
      <c r="J29" s="117" t="s">
        <v>74</v>
      </c>
      <c r="K29" s="247">
        <f t="shared" si="2"/>
        <v>93</v>
      </c>
      <c r="L29" s="262">
        <f>ROUND(L28-1*(L28-L33)/5,0)</f>
        <v>95</v>
      </c>
      <c r="M29" s="117" t="s">
        <v>74</v>
      </c>
      <c r="N29" s="247">
        <f t="shared" si="3"/>
        <v>34</v>
      </c>
      <c r="O29" s="262">
        <f>ROUND(O28-1*(O28-O33)/5,0)</f>
        <v>34</v>
      </c>
      <c r="P29" s="117" t="s">
        <v>74</v>
      </c>
      <c r="Q29" s="247">
        <f t="shared" si="4"/>
        <v>93</v>
      </c>
      <c r="R29" s="262">
        <f>ROUND(R28-1*(R28-R33)/5,0)</f>
        <v>95</v>
      </c>
      <c r="S29" s="117" t="s">
        <v>74</v>
      </c>
      <c r="T29" s="247">
        <f t="shared" si="5"/>
        <v>93</v>
      </c>
      <c r="U29" s="262">
        <f>ROUND(U28-1*(U28-U33)/5,0)</f>
        <v>95</v>
      </c>
      <c r="V29" s="117" t="s">
        <v>74</v>
      </c>
      <c r="W29" s="247">
        <f t="shared" si="6"/>
        <v>93</v>
      </c>
      <c r="X29" s="262">
        <f>ROUND(X28-1*(X28-X33)/5,0)</f>
        <v>95</v>
      </c>
      <c r="Y29" s="117" t="s">
        <v>74</v>
      </c>
      <c r="Z29" s="247">
        <f t="shared" si="7"/>
        <v>93</v>
      </c>
      <c r="AA29" s="262">
        <f>ROUND(AA28-1*(AA28-AA33)/5,0)</f>
        <v>95</v>
      </c>
      <c r="AB29" s="117" t="s">
        <v>74</v>
      </c>
      <c r="AC29" s="247">
        <f t="shared" si="8"/>
        <v>93</v>
      </c>
      <c r="AD29" s="262">
        <f>ROUND(AD28-1*(AD28-AD33)/5,0)</f>
        <v>95</v>
      </c>
      <c r="AE29" s="117" t="s">
        <v>74</v>
      </c>
    </row>
    <row r="30" spans="1:31" x14ac:dyDescent="0.2">
      <c r="A30">
        <v>6.7</v>
      </c>
      <c r="B30" s="297">
        <f t="shared" si="11"/>
        <v>100</v>
      </c>
      <c r="C30" s="297">
        <f t="shared" si="12"/>
        <v>102</v>
      </c>
      <c r="D30" s="301"/>
      <c r="E30" s="247">
        <f t="shared" si="0"/>
        <v>122</v>
      </c>
      <c r="F30" s="49">
        <f>ROUND(F28-2*(F28-F33)/5,0)</f>
        <v>126</v>
      </c>
      <c r="G30" s="117" t="s">
        <v>74</v>
      </c>
      <c r="H30" s="247">
        <f t="shared" si="1"/>
        <v>100</v>
      </c>
      <c r="I30" s="49">
        <f>ROUND(I28-2*(I28-I33)/5,0)</f>
        <v>102</v>
      </c>
      <c r="J30" s="117" t="s">
        <v>74</v>
      </c>
      <c r="K30" s="247">
        <f t="shared" si="2"/>
        <v>90</v>
      </c>
      <c r="L30" s="49">
        <f>ROUND(L28-2*(L28-L33)/5,0)</f>
        <v>92</v>
      </c>
      <c r="M30" s="117" t="s">
        <v>74</v>
      </c>
      <c r="N30" s="247">
        <f t="shared" si="3"/>
        <v>33</v>
      </c>
      <c r="O30" s="49">
        <f>ROUND(O28-2*(O28-O33)/5,0)</f>
        <v>33</v>
      </c>
      <c r="P30" s="117" t="s">
        <v>74</v>
      </c>
      <c r="Q30" s="247">
        <f t="shared" si="4"/>
        <v>90</v>
      </c>
      <c r="R30" s="49">
        <f>ROUND(R28-2*(R28-R33)/5,0)</f>
        <v>92</v>
      </c>
      <c r="S30" s="117" t="s">
        <v>74</v>
      </c>
      <c r="T30" s="247">
        <f t="shared" si="5"/>
        <v>90</v>
      </c>
      <c r="U30" s="49">
        <f>ROUND(U28-2*(U28-U33)/5,0)</f>
        <v>92</v>
      </c>
      <c r="V30" s="117" t="s">
        <v>74</v>
      </c>
      <c r="W30" s="247">
        <f t="shared" si="6"/>
        <v>90</v>
      </c>
      <c r="X30" s="49">
        <f>ROUND(X28-2*(X28-X33)/5,0)</f>
        <v>92</v>
      </c>
      <c r="Y30" s="117" t="s">
        <v>74</v>
      </c>
      <c r="Z30" s="247">
        <f t="shared" si="7"/>
        <v>90</v>
      </c>
      <c r="AA30" s="49">
        <f>ROUND(AA28-2*(AA28-AA33)/5,0)</f>
        <v>92</v>
      </c>
      <c r="AB30" s="117" t="s">
        <v>74</v>
      </c>
      <c r="AC30" s="247">
        <f t="shared" si="8"/>
        <v>90</v>
      </c>
      <c r="AD30" s="49">
        <f>ROUND(AD28-2*(AD28-AD33)/5,0)</f>
        <v>92</v>
      </c>
      <c r="AE30" s="117" t="s">
        <v>74</v>
      </c>
    </row>
    <row r="31" spans="1:31" x14ac:dyDescent="0.2">
      <c r="A31">
        <v>6.8</v>
      </c>
      <c r="B31" s="297">
        <f t="shared" si="11"/>
        <v>96</v>
      </c>
      <c r="C31" s="297">
        <f t="shared" si="12"/>
        <v>99</v>
      </c>
      <c r="D31" s="301"/>
      <c r="E31" s="247">
        <f t="shared" si="0"/>
        <v>118</v>
      </c>
      <c r="F31" s="49">
        <f>ROUND(F28-3*(F28-F33)/5,0)</f>
        <v>121</v>
      </c>
      <c r="G31" s="117" t="s">
        <v>74</v>
      </c>
      <c r="H31" s="247">
        <f t="shared" si="1"/>
        <v>96</v>
      </c>
      <c r="I31" s="49">
        <f>ROUND(I28-3*(I28-I33)/5,0)</f>
        <v>99</v>
      </c>
      <c r="J31" s="117" t="s">
        <v>74</v>
      </c>
      <c r="K31" s="247">
        <f t="shared" si="2"/>
        <v>87</v>
      </c>
      <c r="L31" s="49">
        <f>ROUND(L28-3*(L28-L33)/5,0)</f>
        <v>89</v>
      </c>
      <c r="M31" s="117" t="s">
        <v>74</v>
      </c>
      <c r="N31" s="247">
        <f t="shared" si="3"/>
        <v>32</v>
      </c>
      <c r="O31" s="49">
        <f>ROUND(O28-3*(O28-O33)/5,0)</f>
        <v>32</v>
      </c>
      <c r="P31" s="117" t="s">
        <v>74</v>
      </c>
      <c r="Q31" s="247">
        <f t="shared" si="4"/>
        <v>87</v>
      </c>
      <c r="R31" s="49">
        <f>ROUND(R28-3*(R28-R33)/5,0)</f>
        <v>89</v>
      </c>
      <c r="S31" s="117" t="s">
        <v>74</v>
      </c>
      <c r="T31" s="247">
        <f t="shared" si="5"/>
        <v>87</v>
      </c>
      <c r="U31" s="49">
        <f>ROUND(U28-3*(U28-U33)/5,0)</f>
        <v>89</v>
      </c>
      <c r="V31" s="117" t="s">
        <v>74</v>
      </c>
      <c r="W31" s="247">
        <f t="shared" si="6"/>
        <v>87</v>
      </c>
      <c r="X31" s="49">
        <f>ROUND(X28-3*(X28-X33)/5,0)</f>
        <v>89</v>
      </c>
      <c r="Y31" s="117" t="s">
        <v>74</v>
      </c>
      <c r="Z31" s="247">
        <f t="shared" si="7"/>
        <v>87</v>
      </c>
      <c r="AA31" s="49">
        <f>ROUND(AA28-3*(AA28-AA33)/5,0)</f>
        <v>89</v>
      </c>
      <c r="AB31" s="117" t="s">
        <v>74</v>
      </c>
      <c r="AC31" s="247">
        <f t="shared" si="8"/>
        <v>87</v>
      </c>
      <c r="AD31" s="49">
        <f>ROUND(AD28-3*(AD28-AD33)/5,0)</f>
        <v>89</v>
      </c>
      <c r="AE31" s="117" t="s">
        <v>74</v>
      </c>
    </row>
    <row r="32" spans="1:31" x14ac:dyDescent="0.2">
      <c r="A32">
        <v>6.9</v>
      </c>
      <c r="B32" s="297">
        <f t="shared" si="11"/>
        <v>93</v>
      </c>
      <c r="C32" s="297">
        <f t="shared" si="12"/>
        <v>95</v>
      </c>
      <c r="D32" s="301"/>
      <c r="E32" s="247">
        <f t="shared" si="0"/>
        <v>114</v>
      </c>
      <c r="F32" s="49">
        <f>ROUND(F28-4*(F28-F33)/5,0)</f>
        <v>117</v>
      </c>
      <c r="G32" s="117" t="s">
        <v>74</v>
      </c>
      <c r="H32" s="247">
        <f t="shared" si="1"/>
        <v>93</v>
      </c>
      <c r="I32" s="49">
        <f>ROUND(I28-4*(I28-I33)/5,0)</f>
        <v>95</v>
      </c>
      <c r="J32" s="117" t="s">
        <v>74</v>
      </c>
      <c r="K32" s="247">
        <f t="shared" si="2"/>
        <v>84</v>
      </c>
      <c r="L32" s="49">
        <f>ROUND(L28-4*(L28-L33)/5,0)</f>
        <v>86</v>
      </c>
      <c r="M32" s="117" t="s">
        <v>74</v>
      </c>
      <c r="N32" s="247">
        <f t="shared" si="3"/>
        <v>31</v>
      </c>
      <c r="O32" s="49">
        <f>ROUND(O28-4*(O28-O33)/5,0)</f>
        <v>31</v>
      </c>
      <c r="P32" s="117" t="s">
        <v>74</v>
      </c>
      <c r="Q32" s="247">
        <f t="shared" si="4"/>
        <v>84</v>
      </c>
      <c r="R32" s="49">
        <f>ROUND(R28-4*(R28-R33)/5,0)</f>
        <v>86</v>
      </c>
      <c r="S32" s="117" t="s">
        <v>74</v>
      </c>
      <c r="T32" s="247">
        <f t="shared" si="5"/>
        <v>84</v>
      </c>
      <c r="U32" s="49">
        <f>ROUND(U28-4*(U28-U33)/5,0)</f>
        <v>86</v>
      </c>
      <c r="V32" s="117" t="s">
        <v>74</v>
      </c>
      <c r="W32" s="247">
        <f t="shared" si="6"/>
        <v>84</v>
      </c>
      <c r="X32" s="49">
        <f>ROUND(X28-4*(X28-X33)/5,0)</f>
        <v>86</v>
      </c>
      <c r="Y32" s="117" t="s">
        <v>74</v>
      </c>
      <c r="Z32" s="247">
        <f t="shared" si="7"/>
        <v>84</v>
      </c>
      <c r="AA32" s="49">
        <f>ROUND(AA28-4*(AA28-AA33)/5,0)</f>
        <v>86</v>
      </c>
      <c r="AB32" s="117" t="s">
        <v>74</v>
      </c>
      <c r="AC32" s="247">
        <f t="shared" si="8"/>
        <v>84</v>
      </c>
      <c r="AD32" s="49">
        <f>ROUND(AD28-4*(AD28-AD33)/5,0)</f>
        <v>86</v>
      </c>
      <c r="AE32" s="117" t="s">
        <v>74</v>
      </c>
    </row>
    <row r="33" spans="1:31" x14ac:dyDescent="0.2">
      <c r="A33" s="30">
        <v>7</v>
      </c>
      <c r="B33" s="16">
        <f t="shared" si="11"/>
        <v>90</v>
      </c>
      <c r="C33" s="16">
        <f t="shared" si="12"/>
        <v>92</v>
      </c>
      <c r="D33" s="300"/>
      <c r="E33" s="247">
        <f t="shared" si="0"/>
        <v>110</v>
      </c>
      <c r="F33" s="295">
        <v>113</v>
      </c>
      <c r="G33" s="117"/>
      <c r="H33" s="247">
        <f t="shared" si="1"/>
        <v>90</v>
      </c>
      <c r="I33" s="261">
        <v>92</v>
      </c>
      <c r="J33" s="117"/>
      <c r="K33" s="247">
        <f t="shared" si="2"/>
        <v>81</v>
      </c>
      <c r="L33" s="261">
        <v>83</v>
      </c>
      <c r="M33" s="117"/>
      <c r="N33" s="247">
        <f t="shared" si="3"/>
        <v>30</v>
      </c>
      <c r="O33" s="261">
        <v>30</v>
      </c>
      <c r="P33" s="117"/>
      <c r="Q33" s="247">
        <f t="shared" si="4"/>
        <v>81</v>
      </c>
      <c r="R33" s="261">
        <v>83</v>
      </c>
      <c r="S33" s="117"/>
      <c r="T33" s="247">
        <f t="shared" si="5"/>
        <v>81</v>
      </c>
      <c r="U33" s="261">
        <v>83</v>
      </c>
      <c r="V33" s="117"/>
      <c r="W33" s="247">
        <f t="shared" si="6"/>
        <v>81</v>
      </c>
      <c r="X33" s="261">
        <v>83</v>
      </c>
      <c r="Y33" s="117"/>
      <c r="Z33" s="247">
        <f t="shared" si="7"/>
        <v>81</v>
      </c>
      <c r="AA33" s="261">
        <v>83</v>
      </c>
      <c r="AB33" s="117"/>
      <c r="AC33" s="247">
        <f t="shared" si="8"/>
        <v>81</v>
      </c>
      <c r="AD33" s="261">
        <v>83</v>
      </c>
      <c r="AE33" s="117"/>
    </row>
    <row r="34" spans="1:31" x14ac:dyDescent="0.2">
      <c r="A34">
        <v>7.1</v>
      </c>
      <c r="B34" s="297">
        <f t="shared" si="11"/>
        <v>87</v>
      </c>
      <c r="C34" s="297">
        <f t="shared" si="12"/>
        <v>89</v>
      </c>
      <c r="D34" s="301"/>
      <c r="E34" s="247">
        <f t="shared" si="0"/>
        <v>106</v>
      </c>
      <c r="F34" s="262">
        <f>ROUND(F33-1*(F33-F38)/5,0)</f>
        <v>109</v>
      </c>
      <c r="G34" s="117" t="s">
        <v>74</v>
      </c>
      <c r="H34" s="247">
        <f t="shared" si="1"/>
        <v>87</v>
      </c>
      <c r="I34" s="262">
        <f>ROUND(I33-1*(I33-I38)/5,0)</f>
        <v>89</v>
      </c>
      <c r="J34" s="117" t="s">
        <v>74</v>
      </c>
      <c r="K34" s="247">
        <f t="shared" si="2"/>
        <v>78</v>
      </c>
      <c r="L34" s="262">
        <f>ROUND(L33-1*(L33-L38)/5,0)</f>
        <v>80</v>
      </c>
      <c r="M34" s="117" t="s">
        <v>74</v>
      </c>
      <c r="N34" s="247">
        <f t="shared" si="3"/>
        <v>29</v>
      </c>
      <c r="O34" s="262">
        <f>ROUND(O33-1*(O33-O38)/5,0)</f>
        <v>29</v>
      </c>
      <c r="P34" s="117" t="s">
        <v>74</v>
      </c>
      <c r="Q34" s="247">
        <f t="shared" si="4"/>
        <v>78</v>
      </c>
      <c r="R34" s="262">
        <f>ROUND(R33-1*(R33-R38)/5,0)</f>
        <v>80</v>
      </c>
      <c r="S34" s="117" t="s">
        <v>74</v>
      </c>
      <c r="T34" s="247">
        <f t="shared" si="5"/>
        <v>78</v>
      </c>
      <c r="U34" s="262">
        <f>ROUND(U33-1*(U33-U38)/5,0)</f>
        <v>80</v>
      </c>
      <c r="V34" s="117" t="s">
        <v>74</v>
      </c>
      <c r="W34" s="247">
        <f t="shared" si="6"/>
        <v>78</v>
      </c>
      <c r="X34" s="262">
        <f>ROUND(X33-1*(X33-X38)/5,0)</f>
        <v>80</v>
      </c>
      <c r="Y34" s="117" t="s">
        <v>74</v>
      </c>
      <c r="Z34" s="247">
        <f t="shared" si="7"/>
        <v>78</v>
      </c>
      <c r="AA34" s="262">
        <f>ROUND(AA33-1*(AA33-AA38)/5,0)</f>
        <v>80</v>
      </c>
      <c r="AB34" s="117" t="s">
        <v>74</v>
      </c>
      <c r="AC34" s="247">
        <f t="shared" si="8"/>
        <v>78</v>
      </c>
      <c r="AD34" s="262">
        <f>ROUND(AD33-1*(AD33-AD38)/5,0)</f>
        <v>80</v>
      </c>
      <c r="AE34" s="117" t="s">
        <v>74</v>
      </c>
    </row>
    <row r="35" spans="1:31" x14ac:dyDescent="0.2">
      <c r="A35">
        <v>7.2</v>
      </c>
      <c r="B35" s="297">
        <f t="shared" si="11"/>
        <v>83</v>
      </c>
      <c r="C35" s="297">
        <f t="shared" si="12"/>
        <v>86</v>
      </c>
      <c r="D35" s="301"/>
      <c r="E35" s="247">
        <f t="shared" si="0"/>
        <v>101</v>
      </c>
      <c r="F35" s="49">
        <f>ROUND(F33-2*(F33-F38)/5,0)</f>
        <v>105</v>
      </c>
      <c r="G35" s="117" t="s">
        <v>74</v>
      </c>
      <c r="H35" s="247">
        <f t="shared" si="1"/>
        <v>83</v>
      </c>
      <c r="I35" s="49">
        <f>ROUND(I33-2*(I33-I38)/5,0)</f>
        <v>86</v>
      </c>
      <c r="J35" s="117" t="s">
        <v>74</v>
      </c>
      <c r="K35" s="247">
        <f t="shared" si="2"/>
        <v>75</v>
      </c>
      <c r="L35" s="49">
        <f>ROUND(L33-2*(L33-L38)/5,0)</f>
        <v>77</v>
      </c>
      <c r="M35" s="117" t="s">
        <v>74</v>
      </c>
      <c r="N35" s="247">
        <f t="shared" si="3"/>
        <v>29</v>
      </c>
      <c r="O35" s="49">
        <f>ROUND(O33-2*(O33-O38)/5,0)</f>
        <v>28</v>
      </c>
      <c r="P35" s="117" t="s">
        <v>74</v>
      </c>
      <c r="Q35" s="247">
        <f t="shared" si="4"/>
        <v>75</v>
      </c>
      <c r="R35" s="49">
        <f>ROUND(R33-2*(R33-R38)/5,0)</f>
        <v>77</v>
      </c>
      <c r="S35" s="117" t="s">
        <v>74</v>
      </c>
      <c r="T35" s="247">
        <f t="shared" si="5"/>
        <v>75</v>
      </c>
      <c r="U35" s="49">
        <f>ROUND(U33-2*(U33-U38)/5,0)</f>
        <v>77</v>
      </c>
      <c r="V35" s="117" t="s">
        <v>74</v>
      </c>
      <c r="W35" s="247">
        <f t="shared" si="6"/>
        <v>75</v>
      </c>
      <c r="X35" s="49">
        <f>ROUND(X33-2*(X33-X38)/5,0)</f>
        <v>77</v>
      </c>
      <c r="Y35" s="117" t="s">
        <v>74</v>
      </c>
      <c r="Z35" s="247">
        <f t="shared" si="7"/>
        <v>75</v>
      </c>
      <c r="AA35" s="49">
        <f>ROUND(AA33-2*(AA33-AA38)/5,0)</f>
        <v>77</v>
      </c>
      <c r="AB35" s="117" t="s">
        <v>74</v>
      </c>
      <c r="AC35" s="247">
        <f t="shared" si="8"/>
        <v>75</v>
      </c>
      <c r="AD35" s="49">
        <f>ROUND(AD33-2*(AD33-AD38)/5,0)</f>
        <v>77</v>
      </c>
      <c r="AE35" s="117" t="s">
        <v>74</v>
      </c>
    </row>
    <row r="36" spans="1:31" x14ac:dyDescent="0.2">
      <c r="A36">
        <v>7.3</v>
      </c>
      <c r="B36" s="297">
        <f t="shared" si="11"/>
        <v>80</v>
      </c>
      <c r="C36" s="297">
        <f t="shared" si="12"/>
        <v>82</v>
      </c>
      <c r="D36" s="301"/>
      <c r="E36" s="247">
        <f t="shared" si="0"/>
        <v>97</v>
      </c>
      <c r="F36" s="49">
        <f>ROUND(F33-3*(F33-F38)/5,0)</f>
        <v>100</v>
      </c>
      <c r="G36" s="117" t="s">
        <v>74</v>
      </c>
      <c r="H36" s="247">
        <f t="shared" si="1"/>
        <v>80</v>
      </c>
      <c r="I36" s="49">
        <f>ROUND(I33-3*(I33-I38)/5,0)</f>
        <v>82</v>
      </c>
      <c r="J36" s="117" t="s">
        <v>74</v>
      </c>
      <c r="K36" s="247">
        <f t="shared" si="2"/>
        <v>72</v>
      </c>
      <c r="L36" s="49">
        <f>ROUND(L33-3*(L33-L38)/5,0)</f>
        <v>74</v>
      </c>
      <c r="M36" s="117" t="s">
        <v>74</v>
      </c>
      <c r="N36" s="247">
        <f t="shared" si="3"/>
        <v>28</v>
      </c>
      <c r="O36" s="49">
        <f>ROUND(O33-3*(O33-O38)/5,0)</f>
        <v>28</v>
      </c>
      <c r="P36" s="117" t="s">
        <v>74</v>
      </c>
      <c r="Q36" s="247">
        <f t="shared" si="4"/>
        <v>72</v>
      </c>
      <c r="R36" s="49">
        <f>ROUND(R33-3*(R33-R38)/5,0)</f>
        <v>74</v>
      </c>
      <c r="S36" s="117" t="s">
        <v>74</v>
      </c>
      <c r="T36" s="247">
        <f t="shared" si="5"/>
        <v>72</v>
      </c>
      <c r="U36" s="49">
        <f>ROUND(U33-3*(U33-U38)/5,0)</f>
        <v>74</v>
      </c>
      <c r="V36" s="117" t="s">
        <v>74</v>
      </c>
      <c r="W36" s="247">
        <f t="shared" si="6"/>
        <v>72</v>
      </c>
      <c r="X36" s="49">
        <f>ROUND(X33-3*(X33-X38)/5,0)</f>
        <v>74</v>
      </c>
      <c r="Y36" s="117" t="s">
        <v>74</v>
      </c>
      <c r="Z36" s="247">
        <f t="shared" si="7"/>
        <v>72</v>
      </c>
      <c r="AA36" s="49">
        <f>ROUND(AA33-3*(AA33-AA38)/5,0)</f>
        <v>74</v>
      </c>
      <c r="AB36" s="117" t="s">
        <v>74</v>
      </c>
      <c r="AC36" s="247">
        <f t="shared" si="8"/>
        <v>72</v>
      </c>
      <c r="AD36" s="49">
        <f>ROUND(AD33-3*(AD33-AD38)/5,0)</f>
        <v>74</v>
      </c>
      <c r="AE36" s="117" t="s">
        <v>74</v>
      </c>
    </row>
    <row r="37" spans="1:31" x14ac:dyDescent="0.2">
      <c r="A37">
        <v>7.4</v>
      </c>
      <c r="B37" s="297">
        <f t="shared" si="11"/>
        <v>77</v>
      </c>
      <c r="C37" s="297">
        <f t="shared" si="12"/>
        <v>79</v>
      </c>
      <c r="D37" s="301"/>
      <c r="E37" s="247">
        <f t="shared" si="0"/>
        <v>93</v>
      </c>
      <c r="F37" s="49">
        <f>ROUND(F33-4*(F33-F38)/5,0)</f>
        <v>96</v>
      </c>
      <c r="G37" s="117" t="s">
        <v>74</v>
      </c>
      <c r="H37" s="247">
        <f t="shared" si="1"/>
        <v>77</v>
      </c>
      <c r="I37" s="49">
        <f>ROUND(I33-4*(I33-I38)/5,0)</f>
        <v>79</v>
      </c>
      <c r="J37" s="117" t="s">
        <v>74</v>
      </c>
      <c r="K37" s="247">
        <f t="shared" si="2"/>
        <v>69</v>
      </c>
      <c r="L37" s="49">
        <f>ROUND(L33-4*(L33-L38)/5,0)</f>
        <v>71</v>
      </c>
      <c r="M37" s="117" t="s">
        <v>74</v>
      </c>
      <c r="N37" s="247">
        <f t="shared" si="3"/>
        <v>27</v>
      </c>
      <c r="O37" s="49">
        <f>ROUND(O33-4*(O33-O38)/5,0)</f>
        <v>27</v>
      </c>
      <c r="P37" s="117" t="s">
        <v>74</v>
      </c>
      <c r="Q37" s="247">
        <f t="shared" si="4"/>
        <v>69</v>
      </c>
      <c r="R37" s="49">
        <f>ROUND(R33-4*(R33-R38)/5,0)</f>
        <v>71</v>
      </c>
      <c r="S37" s="117" t="s">
        <v>74</v>
      </c>
      <c r="T37" s="247">
        <f t="shared" si="5"/>
        <v>69</v>
      </c>
      <c r="U37" s="49">
        <f>ROUND(U33-4*(U33-U38)/5,0)</f>
        <v>71</v>
      </c>
      <c r="V37" s="117" t="s">
        <v>74</v>
      </c>
      <c r="W37" s="247">
        <f t="shared" si="6"/>
        <v>69</v>
      </c>
      <c r="X37" s="49">
        <f>ROUND(X33-4*(X33-X38)/5,0)</f>
        <v>71</v>
      </c>
      <c r="Y37" s="117" t="s">
        <v>74</v>
      </c>
      <c r="Z37" s="247">
        <f t="shared" si="7"/>
        <v>69</v>
      </c>
      <c r="AA37" s="49">
        <f>ROUND(AA33-4*(AA33-AA38)/5,0)</f>
        <v>71</v>
      </c>
      <c r="AB37" s="117" t="s">
        <v>74</v>
      </c>
      <c r="AC37" s="247">
        <f t="shared" si="8"/>
        <v>69</v>
      </c>
      <c r="AD37" s="49">
        <f>ROUND(AD33-4*(AD33-AD38)/5,0)</f>
        <v>71</v>
      </c>
      <c r="AE37" s="117" t="s">
        <v>74</v>
      </c>
    </row>
    <row r="38" spans="1:31" x14ac:dyDescent="0.2">
      <c r="A38" s="30">
        <v>7.5</v>
      </c>
      <c r="B38" s="16">
        <f t="shared" si="11"/>
        <v>74</v>
      </c>
      <c r="C38" s="16">
        <f t="shared" si="12"/>
        <v>76</v>
      </c>
      <c r="D38" s="300"/>
      <c r="E38" s="247">
        <f t="shared" si="0"/>
        <v>89</v>
      </c>
      <c r="F38" s="295">
        <v>92</v>
      </c>
      <c r="G38" s="117"/>
      <c r="H38" s="247">
        <f t="shared" si="1"/>
        <v>74</v>
      </c>
      <c r="I38" s="261">
        <v>76</v>
      </c>
      <c r="J38" s="117"/>
      <c r="K38" s="247">
        <f t="shared" si="2"/>
        <v>66</v>
      </c>
      <c r="L38" s="261">
        <v>68</v>
      </c>
      <c r="M38" s="117"/>
      <c r="N38" s="247">
        <f t="shared" si="3"/>
        <v>26</v>
      </c>
      <c r="O38" s="261">
        <v>26</v>
      </c>
      <c r="P38" s="117"/>
      <c r="Q38" s="247">
        <f t="shared" si="4"/>
        <v>66</v>
      </c>
      <c r="R38" s="261">
        <v>68</v>
      </c>
      <c r="S38" s="117"/>
      <c r="T38" s="247">
        <f t="shared" si="5"/>
        <v>66</v>
      </c>
      <c r="U38" s="261">
        <v>68</v>
      </c>
      <c r="V38" s="117"/>
      <c r="W38" s="247">
        <f t="shared" si="6"/>
        <v>66</v>
      </c>
      <c r="X38" s="261">
        <v>68</v>
      </c>
      <c r="Y38" s="117"/>
      <c r="Z38" s="247">
        <f t="shared" si="7"/>
        <v>66</v>
      </c>
      <c r="AA38" s="261">
        <v>68</v>
      </c>
      <c r="AB38" s="117"/>
      <c r="AC38" s="247">
        <f t="shared" si="8"/>
        <v>66</v>
      </c>
      <c r="AD38" s="261">
        <v>68</v>
      </c>
      <c r="AE38" s="117"/>
    </row>
    <row r="39" spans="1:31" x14ac:dyDescent="0.2">
      <c r="A39">
        <v>7.6</v>
      </c>
      <c r="B39" s="297">
        <f t="shared" si="11"/>
        <v>70</v>
      </c>
      <c r="C39" s="297">
        <f t="shared" si="12"/>
        <v>73</v>
      </c>
      <c r="D39" s="301"/>
      <c r="E39" s="247">
        <f t="shared" si="0"/>
        <v>85</v>
      </c>
      <c r="F39" s="262">
        <f>ROUND(F38-1*(F38-F43)/5,0)</f>
        <v>88</v>
      </c>
      <c r="G39" s="117" t="s">
        <v>74</v>
      </c>
      <c r="H39" s="247">
        <f t="shared" si="1"/>
        <v>70</v>
      </c>
      <c r="I39" s="262">
        <f>ROUND(I38-1*(I38-I43)/5,0)</f>
        <v>73</v>
      </c>
      <c r="J39" s="117" t="s">
        <v>74</v>
      </c>
      <c r="K39" s="247">
        <f t="shared" si="2"/>
        <v>63</v>
      </c>
      <c r="L39" s="262">
        <f>ROUND(L38-1*(L38-L43)/5,0)</f>
        <v>65</v>
      </c>
      <c r="M39" s="117" t="s">
        <v>74</v>
      </c>
      <c r="N39" s="247">
        <f t="shared" si="3"/>
        <v>25</v>
      </c>
      <c r="O39" s="262">
        <f>ROUND(O38-1*(O38-O43)/5,0)</f>
        <v>25</v>
      </c>
      <c r="P39" s="117" t="s">
        <v>74</v>
      </c>
      <c r="Q39" s="247">
        <f t="shared" si="4"/>
        <v>63</v>
      </c>
      <c r="R39" s="262">
        <f>ROUND(R38-1*(R38-R43)/5,0)</f>
        <v>65</v>
      </c>
      <c r="S39" s="117" t="s">
        <v>74</v>
      </c>
      <c r="T39" s="247">
        <f t="shared" si="5"/>
        <v>63</v>
      </c>
      <c r="U39" s="262">
        <f>ROUND(U38-1*(U38-U43)/5,0)</f>
        <v>65</v>
      </c>
      <c r="V39" s="117" t="s">
        <v>74</v>
      </c>
      <c r="W39" s="247">
        <f t="shared" si="6"/>
        <v>63</v>
      </c>
      <c r="X39" s="262">
        <f>ROUND(X38-1*(X38-X43)/5,0)</f>
        <v>65</v>
      </c>
      <c r="Y39" s="117" t="s">
        <v>74</v>
      </c>
      <c r="Z39" s="247">
        <f t="shared" si="7"/>
        <v>63</v>
      </c>
      <c r="AA39" s="262">
        <f>ROUND(AA38-1*(AA38-AA43)/5,0)</f>
        <v>65</v>
      </c>
      <c r="AB39" s="117" t="s">
        <v>74</v>
      </c>
      <c r="AC39" s="247">
        <f t="shared" si="8"/>
        <v>63</v>
      </c>
      <c r="AD39" s="262">
        <f>ROUND(AD38-1*(AD38-AD43)/5,0)</f>
        <v>65</v>
      </c>
      <c r="AE39" s="117" t="s">
        <v>74</v>
      </c>
    </row>
    <row r="40" spans="1:31" x14ac:dyDescent="0.2">
      <c r="A40">
        <v>7.7</v>
      </c>
      <c r="B40" s="297">
        <f t="shared" si="11"/>
        <v>67</v>
      </c>
      <c r="C40" s="297">
        <f t="shared" si="12"/>
        <v>69</v>
      </c>
      <c r="D40" s="301"/>
      <c r="E40" s="247">
        <f t="shared" si="0"/>
        <v>80</v>
      </c>
      <c r="F40" s="49">
        <f>ROUND(F38-2*(F38-F43)/5,0)</f>
        <v>84</v>
      </c>
      <c r="G40" s="117" t="s">
        <v>74</v>
      </c>
      <c r="H40" s="247">
        <f t="shared" si="1"/>
        <v>67</v>
      </c>
      <c r="I40" s="49">
        <f>ROUND(I38-2*(I38-I43)/5,0)</f>
        <v>69</v>
      </c>
      <c r="J40" s="117" t="s">
        <v>74</v>
      </c>
      <c r="K40" s="247">
        <f t="shared" si="2"/>
        <v>61</v>
      </c>
      <c r="L40" s="49">
        <f>ROUND(L38-2*(L38-L43)/5,0)</f>
        <v>62</v>
      </c>
      <c r="M40" s="117" t="s">
        <v>74</v>
      </c>
      <c r="N40" s="247">
        <f t="shared" si="3"/>
        <v>25</v>
      </c>
      <c r="O40" s="49">
        <f>ROUND(O38-2*(O38-O43)/5,0)</f>
        <v>24</v>
      </c>
      <c r="P40" s="117" t="s">
        <v>74</v>
      </c>
      <c r="Q40" s="247">
        <f t="shared" si="4"/>
        <v>61</v>
      </c>
      <c r="R40" s="49">
        <f>ROUND(R38-2*(R38-R43)/5,0)</f>
        <v>62</v>
      </c>
      <c r="S40" s="117" t="s">
        <v>74</v>
      </c>
      <c r="T40" s="247">
        <f t="shared" si="5"/>
        <v>61</v>
      </c>
      <c r="U40" s="49">
        <f>ROUND(U38-2*(U38-U43)/5,0)</f>
        <v>62</v>
      </c>
      <c r="V40" s="117" t="s">
        <v>74</v>
      </c>
      <c r="W40" s="247">
        <f t="shared" si="6"/>
        <v>61</v>
      </c>
      <c r="X40" s="49">
        <f>ROUND(X38-2*(X38-X43)/5,0)</f>
        <v>62</v>
      </c>
      <c r="Y40" s="117" t="s">
        <v>74</v>
      </c>
      <c r="Z40" s="247">
        <f t="shared" si="7"/>
        <v>61</v>
      </c>
      <c r="AA40" s="49">
        <f>ROUND(AA38-2*(AA38-AA43)/5,0)</f>
        <v>62</v>
      </c>
      <c r="AB40" s="117" t="s">
        <v>74</v>
      </c>
      <c r="AC40" s="247">
        <f t="shared" si="8"/>
        <v>61</v>
      </c>
      <c r="AD40" s="49">
        <f>ROUND(AD38-2*(AD38-AD43)/5,0)</f>
        <v>62</v>
      </c>
      <c r="AE40" s="117" t="s">
        <v>74</v>
      </c>
    </row>
    <row r="41" spans="1:31" x14ac:dyDescent="0.2">
      <c r="A41">
        <v>7.8</v>
      </c>
      <c r="B41" s="297">
        <f t="shared" si="11"/>
        <v>63</v>
      </c>
      <c r="C41" s="297">
        <f t="shared" si="12"/>
        <v>66</v>
      </c>
      <c r="D41" s="301"/>
      <c r="E41" s="247">
        <f t="shared" si="0"/>
        <v>76</v>
      </c>
      <c r="F41" s="49">
        <f>ROUND(F38-3*(F38-F43)/5,0)</f>
        <v>79</v>
      </c>
      <c r="G41" s="117" t="s">
        <v>74</v>
      </c>
      <c r="H41" s="247">
        <f t="shared" si="1"/>
        <v>63</v>
      </c>
      <c r="I41" s="49">
        <f>ROUND(I38-3*(I38-I43)/5,0)</f>
        <v>66</v>
      </c>
      <c r="J41" s="117" t="s">
        <v>74</v>
      </c>
      <c r="K41" s="247">
        <f t="shared" si="2"/>
        <v>58</v>
      </c>
      <c r="L41" s="49">
        <f>ROUND(L38-3*(L38-L43)/5,0)</f>
        <v>60</v>
      </c>
      <c r="M41" s="117" t="s">
        <v>74</v>
      </c>
      <c r="N41" s="247">
        <f t="shared" si="3"/>
        <v>24</v>
      </c>
      <c r="O41" s="49">
        <f>ROUND(O38-3*(O38-O43)/5,0)</f>
        <v>24</v>
      </c>
      <c r="P41" s="117" t="s">
        <v>74</v>
      </c>
      <c r="Q41" s="247">
        <f t="shared" si="4"/>
        <v>58</v>
      </c>
      <c r="R41" s="49">
        <f>ROUND(R38-3*(R38-R43)/5,0)</f>
        <v>60</v>
      </c>
      <c r="S41" s="117" t="s">
        <v>74</v>
      </c>
      <c r="T41" s="247">
        <f t="shared" si="5"/>
        <v>58</v>
      </c>
      <c r="U41" s="49">
        <f>ROUND(U38-3*(U38-U43)/5,0)</f>
        <v>60</v>
      </c>
      <c r="V41" s="117" t="s">
        <v>74</v>
      </c>
      <c r="W41" s="247">
        <f t="shared" si="6"/>
        <v>58</v>
      </c>
      <c r="X41" s="49">
        <f>ROUND(X38-3*(X38-X43)/5,0)</f>
        <v>60</v>
      </c>
      <c r="Y41" s="117" t="s">
        <v>74</v>
      </c>
      <c r="Z41" s="247">
        <f t="shared" si="7"/>
        <v>58</v>
      </c>
      <c r="AA41" s="49">
        <f>ROUND(AA38-3*(AA38-AA43)/5,0)</f>
        <v>60</v>
      </c>
      <c r="AB41" s="117" t="s">
        <v>74</v>
      </c>
      <c r="AC41" s="247">
        <f t="shared" si="8"/>
        <v>58</v>
      </c>
      <c r="AD41" s="49">
        <f>ROUND(AD38-3*(AD38-AD43)/5,0)</f>
        <v>60</v>
      </c>
      <c r="AE41" s="117" t="s">
        <v>74</v>
      </c>
    </row>
    <row r="42" spans="1:31" x14ac:dyDescent="0.2">
      <c r="A42">
        <v>7.9</v>
      </c>
      <c r="B42" s="297">
        <f t="shared" si="11"/>
        <v>60</v>
      </c>
      <c r="C42" s="297">
        <f t="shared" si="12"/>
        <v>62</v>
      </c>
      <c r="D42" s="301"/>
      <c r="E42" s="247">
        <f t="shared" si="0"/>
        <v>72</v>
      </c>
      <c r="F42" s="49">
        <f>ROUND(F38-4*(F38-F43)/5,0)</f>
        <v>75</v>
      </c>
      <c r="G42" s="117" t="s">
        <v>74</v>
      </c>
      <c r="H42" s="247">
        <f t="shared" si="1"/>
        <v>60</v>
      </c>
      <c r="I42" s="49">
        <f>ROUND(I38-4*(I38-I43)/5,0)</f>
        <v>62</v>
      </c>
      <c r="J42" s="117" t="s">
        <v>74</v>
      </c>
      <c r="K42" s="247">
        <f t="shared" si="2"/>
        <v>55</v>
      </c>
      <c r="L42" s="49">
        <f>ROUND(L38-4*(L38-L43)/5,0)</f>
        <v>57</v>
      </c>
      <c r="M42" s="117" t="s">
        <v>74</v>
      </c>
      <c r="N42" s="247">
        <f t="shared" si="3"/>
        <v>23</v>
      </c>
      <c r="O42" s="49">
        <f>ROUND(O38-4*(O38-O43)/5,0)</f>
        <v>23</v>
      </c>
      <c r="P42" s="117" t="s">
        <v>74</v>
      </c>
      <c r="Q42" s="247">
        <f t="shared" si="4"/>
        <v>55</v>
      </c>
      <c r="R42" s="49">
        <f>ROUND(R38-4*(R38-R43)/5,0)</f>
        <v>57</v>
      </c>
      <c r="S42" s="117" t="s">
        <v>74</v>
      </c>
      <c r="T42" s="247">
        <f t="shared" si="5"/>
        <v>55</v>
      </c>
      <c r="U42" s="49">
        <f>ROUND(U38-4*(U38-U43)/5,0)</f>
        <v>57</v>
      </c>
      <c r="V42" s="117" t="s">
        <v>74</v>
      </c>
      <c r="W42" s="247">
        <f t="shared" si="6"/>
        <v>55</v>
      </c>
      <c r="X42" s="49">
        <f>ROUND(X38-4*(X38-X43)/5,0)</f>
        <v>57</v>
      </c>
      <c r="Y42" s="117" t="s">
        <v>74</v>
      </c>
      <c r="Z42" s="247">
        <f t="shared" si="7"/>
        <v>55</v>
      </c>
      <c r="AA42" s="49">
        <f>ROUND(AA38-4*(AA38-AA43)/5,0)</f>
        <v>57</v>
      </c>
      <c r="AB42" s="117" t="s">
        <v>74</v>
      </c>
      <c r="AC42" s="247">
        <f t="shared" si="8"/>
        <v>55</v>
      </c>
      <c r="AD42" s="49">
        <f>ROUND(AD38-4*(AD38-AD43)/5,0)</f>
        <v>57</v>
      </c>
      <c r="AE42" s="117" t="s">
        <v>74</v>
      </c>
    </row>
    <row r="43" spans="1:31" x14ac:dyDescent="0.2">
      <c r="A43" s="30">
        <v>8</v>
      </c>
      <c r="B43" s="16">
        <f t="shared" si="11"/>
        <v>57</v>
      </c>
      <c r="C43" s="16">
        <f t="shared" si="12"/>
        <v>59</v>
      </c>
      <c r="D43" s="300"/>
      <c r="E43" s="247">
        <f t="shared" si="0"/>
        <v>68</v>
      </c>
      <c r="F43" s="295">
        <v>71</v>
      </c>
      <c r="G43" s="117"/>
      <c r="H43" s="247">
        <f t="shared" ref="H43:H62" si="13">I44+1</f>
        <v>57</v>
      </c>
      <c r="I43" s="261">
        <v>59</v>
      </c>
      <c r="J43" s="117"/>
      <c r="K43" s="247">
        <f t="shared" si="2"/>
        <v>52</v>
      </c>
      <c r="L43" s="261">
        <v>54</v>
      </c>
      <c r="M43" s="117"/>
      <c r="N43" s="247">
        <f t="shared" si="3"/>
        <v>22</v>
      </c>
      <c r="O43" s="261">
        <v>22</v>
      </c>
      <c r="P43" s="117"/>
      <c r="Q43" s="247">
        <f t="shared" si="4"/>
        <v>52</v>
      </c>
      <c r="R43" s="261">
        <v>54</v>
      </c>
      <c r="S43" s="117"/>
      <c r="T43" s="247">
        <f t="shared" si="5"/>
        <v>52</v>
      </c>
      <c r="U43" s="261">
        <v>54</v>
      </c>
      <c r="V43" s="117"/>
      <c r="W43" s="247">
        <f t="shared" si="6"/>
        <v>52</v>
      </c>
      <c r="X43" s="261">
        <v>54</v>
      </c>
      <c r="Y43" s="117"/>
      <c r="Z43" s="247">
        <f t="shared" si="7"/>
        <v>52</v>
      </c>
      <c r="AA43" s="261">
        <v>54</v>
      </c>
      <c r="AB43" s="117"/>
      <c r="AC43" s="247">
        <f t="shared" si="8"/>
        <v>52</v>
      </c>
      <c r="AD43" s="261">
        <v>54</v>
      </c>
      <c r="AE43" s="117"/>
    </row>
    <row r="44" spans="1:31" x14ac:dyDescent="0.2">
      <c r="A44">
        <v>8.1</v>
      </c>
      <c r="B44" s="297">
        <f t="shared" si="11"/>
        <v>54</v>
      </c>
      <c r="C44" s="297">
        <f t="shared" si="12"/>
        <v>56</v>
      </c>
      <c r="D44" s="301"/>
      <c r="E44" s="247">
        <f t="shared" si="0"/>
        <v>64</v>
      </c>
      <c r="F44" s="262">
        <f>ROUND(F43-1*(F43-F48)/5,0)</f>
        <v>67</v>
      </c>
      <c r="G44" s="117" t="s">
        <v>74</v>
      </c>
      <c r="H44" s="247">
        <f t="shared" si="13"/>
        <v>54</v>
      </c>
      <c r="I44" s="262">
        <f>ROUND(I43-1*(I43-I48)/5,0)</f>
        <v>56</v>
      </c>
      <c r="J44" s="117" t="s">
        <v>74</v>
      </c>
      <c r="K44" s="247">
        <f t="shared" si="2"/>
        <v>49</v>
      </c>
      <c r="L44" s="262">
        <f>ROUND(L43-1*(L43-L48)/5,0)</f>
        <v>51</v>
      </c>
      <c r="M44" s="117" t="s">
        <v>74</v>
      </c>
      <c r="N44" s="247">
        <f t="shared" si="3"/>
        <v>21</v>
      </c>
      <c r="O44" s="262">
        <f>ROUND(O43-1*(O43-O48)/5,0)</f>
        <v>21</v>
      </c>
      <c r="P44" s="117" t="s">
        <v>74</v>
      </c>
      <c r="Q44" s="247">
        <f t="shared" si="4"/>
        <v>49</v>
      </c>
      <c r="R44" s="262">
        <f>ROUND(R43-1*(R43-R48)/5,0)</f>
        <v>51</v>
      </c>
      <c r="S44" s="117" t="s">
        <v>74</v>
      </c>
      <c r="T44" s="247">
        <f t="shared" si="5"/>
        <v>49</v>
      </c>
      <c r="U44" s="262">
        <f>ROUND(U43-1*(U43-U48)/5,0)</f>
        <v>51</v>
      </c>
      <c r="V44" s="117" t="s">
        <v>74</v>
      </c>
      <c r="W44" s="247">
        <f t="shared" si="6"/>
        <v>49</v>
      </c>
      <c r="X44" s="262">
        <f>ROUND(X43-1*(X43-X48)/5,0)</f>
        <v>51</v>
      </c>
      <c r="Y44" s="117" t="s">
        <v>74</v>
      </c>
      <c r="Z44" s="247">
        <f t="shared" si="7"/>
        <v>49</v>
      </c>
      <c r="AA44" s="262">
        <f>ROUND(AA43-1*(AA43-AA48)/5,0)</f>
        <v>51</v>
      </c>
      <c r="AB44" s="117" t="s">
        <v>74</v>
      </c>
      <c r="AC44" s="247">
        <f t="shared" si="8"/>
        <v>49</v>
      </c>
      <c r="AD44" s="262">
        <f>ROUND(AD43-1*(AD43-AD48)/5,0)</f>
        <v>51</v>
      </c>
      <c r="AE44" s="117" t="s">
        <v>74</v>
      </c>
    </row>
    <row r="45" spans="1:31" x14ac:dyDescent="0.2">
      <c r="A45">
        <v>8.1999999999999993</v>
      </c>
      <c r="B45" s="297">
        <f t="shared" si="11"/>
        <v>50</v>
      </c>
      <c r="C45" s="297">
        <f t="shared" si="12"/>
        <v>53</v>
      </c>
      <c r="D45" s="301"/>
      <c r="E45" s="247">
        <f t="shared" si="0"/>
        <v>60</v>
      </c>
      <c r="F45" s="49">
        <f>ROUND(F43-2*(F43-F48)/5,0)</f>
        <v>63</v>
      </c>
      <c r="G45" s="117" t="s">
        <v>74</v>
      </c>
      <c r="H45" s="247">
        <f t="shared" si="13"/>
        <v>50</v>
      </c>
      <c r="I45" s="49">
        <f>ROUND(I43-2*(I43-I48)/5,0)</f>
        <v>53</v>
      </c>
      <c r="J45" s="117" t="s">
        <v>74</v>
      </c>
      <c r="K45" s="247">
        <f t="shared" si="2"/>
        <v>46</v>
      </c>
      <c r="L45" s="49">
        <f>ROUND(L43-2*(L43-L48)/5,0)</f>
        <v>48</v>
      </c>
      <c r="M45" s="117" t="s">
        <v>74</v>
      </c>
      <c r="N45" s="247">
        <f t="shared" si="3"/>
        <v>20</v>
      </c>
      <c r="O45" s="49">
        <f>ROUND(O43-2*(O43-O48)/5,0)</f>
        <v>20</v>
      </c>
      <c r="P45" s="117" t="s">
        <v>74</v>
      </c>
      <c r="Q45" s="247">
        <f t="shared" si="4"/>
        <v>46</v>
      </c>
      <c r="R45" s="49">
        <f>ROUND(R43-2*(R43-R48)/5,0)</f>
        <v>48</v>
      </c>
      <c r="S45" s="117" t="s">
        <v>74</v>
      </c>
      <c r="T45" s="247">
        <f t="shared" si="5"/>
        <v>46</v>
      </c>
      <c r="U45" s="49">
        <f>ROUND(U43-2*(U43-U48)/5,0)</f>
        <v>48</v>
      </c>
      <c r="V45" s="117" t="s">
        <v>74</v>
      </c>
      <c r="W45" s="247">
        <f t="shared" si="6"/>
        <v>46</v>
      </c>
      <c r="X45" s="49">
        <f>ROUND(X43-2*(X43-X48)/5,0)</f>
        <v>48</v>
      </c>
      <c r="Y45" s="117" t="s">
        <v>74</v>
      </c>
      <c r="Z45" s="247">
        <f t="shared" si="7"/>
        <v>46</v>
      </c>
      <c r="AA45" s="49">
        <f>ROUND(AA43-2*(AA43-AA48)/5,0)</f>
        <v>48</v>
      </c>
      <c r="AB45" s="117" t="s">
        <v>74</v>
      </c>
      <c r="AC45" s="247">
        <f t="shared" si="8"/>
        <v>46</v>
      </c>
      <c r="AD45" s="49">
        <f>ROUND(AD43-2*(AD43-AD48)/5,0)</f>
        <v>48</v>
      </c>
      <c r="AE45" s="117" t="s">
        <v>74</v>
      </c>
    </row>
    <row r="46" spans="1:31" x14ac:dyDescent="0.2">
      <c r="A46">
        <v>8.3000000000000007</v>
      </c>
      <c r="B46" s="297">
        <f t="shared" si="11"/>
        <v>47</v>
      </c>
      <c r="C46" s="297">
        <f t="shared" si="12"/>
        <v>49</v>
      </c>
      <c r="D46" s="301"/>
      <c r="E46" s="247">
        <f t="shared" si="0"/>
        <v>56</v>
      </c>
      <c r="F46" s="49">
        <f>ROUND(F43-3*(F43-F48)/5,0)</f>
        <v>59</v>
      </c>
      <c r="G46" s="117" t="s">
        <v>74</v>
      </c>
      <c r="H46" s="247">
        <f t="shared" si="13"/>
        <v>47</v>
      </c>
      <c r="I46" s="49">
        <f>ROUND(I43-3*(I43-I48)/5,0)</f>
        <v>49</v>
      </c>
      <c r="J46" s="117" t="s">
        <v>74</v>
      </c>
      <c r="K46" s="247">
        <f t="shared" si="2"/>
        <v>43</v>
      </c>
      <c r="L46" s="49">
        <f>ROUND(L43-3*(L43-L48)/5,0)</f>
        <v>45</v>
      </c>
      <c r="M46" s="117" t="s">
        <v>74</v>
      </c>
      <c r="N46" s="247">
        <f t="shared" si="3"/>
        <v>19</v>
      </c>
      <c r="O46" s="49">
        <f>ROUND(O43-3*(O43-O48)/5,0)</f>
        <v>19</v>
      </c>
      <c r="P46" s="117" t="s">
        <v>74</v>
      </c>
      <c r="Q46" s="247">
        <f t="shared" si="4"/>
        <v>43</v>
      </c>
      <c r="R46" s="49">
        <f>ROUND(R43-3*(R43-R48)/5,0)</f>
        <v>45</v>
      </c>
      <c r="S46" s="117" t="s">
        <v>74</v>
      </c>
      <c r="T46" s="247">
        <f t="shared" si="5"/>
        <v>43</v>
      </c>
      <c r="U46" s="49">
        <f>ROUND(U43-3*(U43-U48)/5,0)</f>
        <v>45</v>
      </c>
      <c r="V46" s="117" t="s">
        <v>74</v>
      </c>
      <c r="W46" s="247">
        <f t="shared" si="6"/>
        <v>43</v>
      </c>
      <c r="X46" s="49">
        <f>ROUND(X43-3*(X43-X48)/5,0)</f>
        <v>45</v>
      </c>
      <c r="Y46" s="117" t="s">
        <v>74</v>
      </c>
      <c r="Z46" s="247">
        <f t="shared" si="7"/>
        <v>43</v>
      </c>
      <c r="AA46" s="49">
        <f>ROUND(AA43-3*(AA43-AA48)/5,0)</f>
        <v>45</v>
      </c>
      <c r="AB46" s="117" t="s">
        <v>74</v>
      </c>
      <c r="AC46" s="247">
        <f t="shared" si="8"/>
        <v>43</v>
      </c>
      <c r="AD46" s="49">
        <f>ROUND(AD43-3*(AD43-AD48)/5,0)</f>
        <v>45</v>
      </c>
      <c r="AE46" s="117" t="s">
        <v>74</v>
      </c>
    </row>
    <row r="47" spans="1:31" x14ac:dyDescent="0.2">
      <c r="A47">
        <v>8.4</v>
      </c>
      <c r="B47" s="297">
        <f t="shared" si="11"/>
        <v>44</v>
      </c>
      <c r="C47" s="297">
        <f t="shared" si="12"/>
        <v>46</v>
      </c>
      <c r="D47" s="301"/>
      <c r="E47" s="247">
        <f t="shared" si="0"/>
        <v>52</v>
      </c>
      <c r="F47" s="49">
        <f>ROUND(F43-4*(F43-F48)/5,0)</f>
        <v>55</v>
      </c>
      <c r="G47" s="117" t="s">
        <v>74</v>
      </c>
      <c r="H47" s="247">
        <f t="shared" si="13"/>
        <v>44</v>
      </c>
      <c r="I47" s="49">
        <f>ROUND(I43-4*(I43-I48)/5,0)</f>
        <v>46</v>
      </c>
      <c r="J47" s="117" t="s">
        <v>74</v>
      </c>
      <c r="K47" s="247">
        <f t="shared" si="2"/>
        <v>40</v>
      </c>
      <c r="L47" s="49">
        <f>ROUND(L43-4*(L43-L48)/5,0)</f>
        <v>42</v>
      </c>
      <c r="M47" s="117" t="s">
        <v>74</v>
      </c>
      <c r="N47" s="247">
        <f t="shared" si="3"/>
        <v>18</v>
      </c>
      <c r="O47" s="49">
        <f>ROUND(O43-4*(O43-O48)/5,0)</f>
        <v>18</v>
      </c>
      <c r="P47" s="117" t="s">
        <v>74</v>
      </c>
      <c r="Q47" s="247">
        <f t="shared" si="4"/>
        <v>40</v>
      </c>
      <c r="R47" s="49">
        <f>ROUND(R43-4*(R43-R48)/5,0)</f>
        <v>42</v>
      </c>
      <c r="S47" s="117" t="s">
        <v>74</v>
      </c>
      <c r="T47" s="247">
        <f t="shared" si="5"/>
        <v>40</v>
      </c>
      <c r="U47" s="49">
        <f>ROUND(U43-4*(U43-U48)/5,0)</f>
        <v>42</v>
      </c>
      <c r="V47" s="117" t="s">
        <v>74</v>
      </c>
      <c r="W47" s="247">
        <f t="shared" si="6"/>
        <v>40</v>
      </c>
      <c r="X47" s="49">
        <f>ROUND(X43-4*(X43-X48)/5,0)</f>
        <v>42</v>
      </c>
      <c r="Y47" s="117" t="s">
        <v>74</v>
      </c>
      <c r="Z47" s="247">
        <f t="shared" si="7"/>
        <v>40</v>
      </c>
      <c r="AA47" s="49">
        <f>ROUND(AA43-4*(AA43-AA48)/5,0)</f>
        <v>42</v>
      </c>
      <c r="AB47" s="117" t="s">
        <v>74</v>
      </c>
      <c r="AC47" s="247">
        <f t="shared" si="8"/>
        <v>40</v>
      </c>
      <c r="AD47" s="49">
        <f>ROUND(AD43-4*(AD43-AD48)/5,0)</f>
        <v>42</v>
      </c>
      <c r="AE47" s="117" t="s">
        <v>74</v>
      </c>
    </row>
    <row r="48" spans="1:31" x14ac:dyDescent="0.2">
      <c r="A48" s="30">
        <v>8.5</v>
      </c>
      <c r="B48" s="16">
        <f t="shared" si="11"/>
        <v>41</v>
      </c>
      <c r="C48" s="16">
        <f t="shared" si="12"/>
        <v>43</v>
      </c>
      <c r="D48" s="300"/>
      <c r="E48" s="247">
        <f t="shared" si="0"/>
        <v>48</v>
      </c>
      <c r="F48" s="295">
        <v>51</v>
      </c>
      <c r="G48" s="117"/>
      <c r="H48" s="247">
        <f t="shared" si="13"/>
        <v>41</v>
      </c>
      <c r="I48" s="261">
        <v>43</v>
      </c>
      <c r="J48" s="117"/>
      <c r="K48" s="247">
        <f t="shared" si="2"/>
        <v>37</v>
      </c>
      <c r="L48" s="261">
        <v>39</v>
      </c>
      <c r="M48" s="117"/>
      <c r="N48" s="247">
        <f t="shared" si="3"/>
        <v>17</v>
      </c>
      <c r="O48" s="261">
        <v>17</v>
      </c>
      <c r="P48" s="117"/>
      <c r="Q48" s="247">
        <f t="shared" si="4"/>
        <v>37</v>
      </c>
      <c r="R48" s="261">
        <v>39</v>
      </c>
      <c r="S48" s="117"/>
      <c r="T48" s="247">
        <f t="shared" si="5"/>
        <v>37</v>
      </c>
      <c r="U48" s="261">
        <v>39</v>
      </c>
      <c r="V48" s="117"/>
      <c r="W48" s="247">
        <f t="shared" si="6"/>
        <v>37</v>
      </c>
      <c r="X48" s="261">
        <v>39</v>
      </c>
      <c r="Y48" s="117"/>
      <c r="Z48" s="247">
        <f t="shared" si="7"/>
        <v>37</v>
      </c>
      <c r="AA48" s="261">
        <v>39</v>
      </c>
      <c r="AB48" s="117"/>
      <c r="AC48" s="247">
        <f t="shared" si="8"/>
        <v>37</v>
      </c>
      <c r="AD48" s="261">
        <v>39</v>
      </c>
      <c r="AE48" s="117"/>
    </row>
    <row r="49" spans="1:31" x14ac:dyDescent="0.2">
      <c r="A49">
        <v>8.6</v>
      </c>
      <c r="B49" s="297">
        <f t="shared" si="11"/>
        <v>38</v>
      </c>
      <c r="C49" s="297">
        <f t="shared" si="12"/>
        <v>40</v>
      </c>
      <c r="D49" s="301"/>
      <c r="E49" s="247">
        <f t="shared" si="0"/>
        <v>44</v>
      </c>
      <c r="F49" s="262">
        <f>ROUND(F48-1*(F48-F53)/5,0)</f>
        <v>47</v>
      </c>
      <c r="G49" s="117" t="s">
        <v>74</v>
      </c>
      <c r="H49" s="247">
        <f t="shared" si="13"/>
        <v>38</v>
      </c>
      <c r="I49" s="262">
        <f>ROUND(I48-1*(I48-I53)/5,0)</f>
        <v>40</v>
      </c>
      <c r="J49" s="117" t="s">
        <v>74</v>
      </c>
      <c r="K49" s="247">
        <f t="shared" si="2"/>
        <v>34</v>
      </c>
      <c r="L49" s="262">
        <f>ROUND(L48-1*(L48-L53)/5,0)</f>
        <v>36</v>
      </c>
      <c r="M49" s="117" t="s">
        <v>74</v>
      </c>
      <c r="N49" s="247">
        <f t="shared" si="3"/>
        <v>16</v>
      </c>
      <c r="O49" s="262">
        <f>ROUND(O48-1*(O48-O53)/5,0)</f>
        <v>16</v>
      </c>
      <c r="P49" s="117" t="s">
        <v>74</v>
      </c>
      <c r="Q49" s="247">
        <f t="shared" si="4"/>
        <v>34</v>
      </c>
      <c r="R49" s="262">
        <f>ROUND(R48-1*(R48-R53)/5,0)</f>
        <v>36</v>
      </c>
      <c r="S49" s="117" t="s">
        <v>74</v>
      </c>
      <c r="T49" s="247">
        <f t="shared" si="5"/>
        <v>34</v>
      </c>
      <c r="U49" s="262">
        <f>ROUND(U48-1*(U48-U53)/5,0)</f>
        <v>36</v>
      </c>
      <c r="V49" s="117" t="s">
        <v>74</v>
      </c>
      <c r="W49" s="247">
        <f t="shared" si="6"/>
        <v>34</v>
      </c>
      <c r="X49" s="262">
        <f>ROUND(X48-1*(X48-X53)/5,0)</f>
        <v>36</v>
      </c>
      <c r="Y49" s="117" t="s">
        <v>74</v>
      </c>
      <c r="Z49" s="247">
        <f t="shared" si="7"/>
        <v>34</v>
      </c>
      <c r="AA49" s="262">
        <f>ROUND(AA48-1*(AA48-AA53)/5,0)</f>
        <v>36</v>
      </c>
      <c r="AB49" s="117" t="s">
        <v>74</v>
      </c>
      <c r="AC49" s="247">
        <f t="shared" si="8"/>
        <v>34</v>
      </c>
      <c r="AD49" s="262">
        <f>ROUND(AD48-1*(AD48-AD53)/5,0)</f>
        <v>36</v>
      </c>
      <c r="AE49" s="117" t="s">
        <v>74</v>
      </c>
    </row>
    <row r="50" spans="1:31" x14ac:dyDescent="0.2">
      <c r="A50">
        <v>8.6999999999999993</v>
      </c>
      <c r="B50" s="297">
        <f t="shared" si="11"/>
        <v>35</v>
      </c>
      <c r="C50" s="297">
        <f t="shared" si="12"/>
        <v>37</v>
      </c>
      <c r="D50" s="301"/>
      <c r="E50" s="247">
        <f t="shared" si="0"/>
        <v>40</v>
      </c>
      <c r="F50" s="49">
        <f>ROUND(F48-2*(F48-F53)/5,0)</f>
        <v>43</v>
      </c>
      <c r="G50" s="117" t="s">
        <v>74</v>
      </c>
      <c r="H50" s="247">
        <f t="shared" si="13"/>
        <v>35</v>
      </c>
      <c r="I50" s="49">
        <f>ROUND(I48-2*(I48-I53)/5,0)</f>
        <v>37</v>
      </c>
      <c r="J50" s="117" t="s">
        <v>74</v>
      </c>
      <c r="K50" s="247">
        <f t="shared" si="2"/>
        <v>32</v>
      </c>
      <c r="L50" s="49">
        <f>ROUND(L48-2*(L48-L53)/5,0)</f>
        <v>33</v>
      </c>
      <c r="M50" s="117" t="s">
        <v>74</v>
      </c>
      <c r="N50" s="247">
        <f t="shared" si="3"/>
        <v>16</v>
      </c>
      <c r="O50" s="49">
        <f>ROUND(O48-2*(O48-O53)/5,0)</f>
        <v>15</v>
      </c>
      <c r="P50" s="117" t="s">
        <v>74</v>
      </c>
      <c r="Q50" s="247">
        <f t="shared" si="4"/>
        <v>32</v>
      </c>
      <c r="R50" s="49">
        <f>ROUND(R48-2*(R48-R53)/5,0)</f>
        <v>33</v>
      </c>
      <c r="S50" s="117" t="s">
        <v>74</v>
      </c>
      <c r="T50" s="247">
        <f t="shared" si="5"/>
        <v>32</v>
      </c>
      <c r="U50" s="49">
        <f>ROUND(U48-2*(U48-U53)/5,0)</f>
        <v>33</v>
      </c>
      <c r="V50" s="117" t="s">
        <v>74</v>
      </c>
      <c r="W50" s="247">
        <f t="shared" si="6"/>
        <v>32</v>
      </c>
      <c r="X50" s="49">
        <f>ROUND(X48-2*(X48-X53)/5,0)</f>
        <v>33</v>
      </c>
      <c r="Y50" s="117" t="s">
        <v>74</v>
      </c>
      <c r="Z50" s="247">
        <f t="shared" si="7"/>
        <v>32</v>
      </c>
      <c r="AA50" s="49">
        <f>ROUND(AA48-2*(AA48-AA53)/5,0)</f>
        <v>33</v>
      </c>
      <c r="AB50" s="117" t="s">
        <v>74</v>
      </c>
      <c r="AC50" s="247">
        <f t="shared" si="8"/>
        <v>32</v>
      </c>
      <c r="AD50" s="49">
        <f>ROUND(AD48-2*(AD48-AD53)/5,0)</f>
        <v>33</v>
      </c>
      <c r="AE50" s="117" t="s">
        <v>74</v>
      </c>
    </row>
    <row r="51" spans="1:31" x14ac:dyDescent="0.2">
      <c r="A51">
        <v>8.8000000000000007</v>
      </c>
      <c r="B51" s="297">
        <f t="shared" si="11"/>
        <v>32</v>
      </c>
      <c r="C51" s="297">
        <f t="shared" si="12"/>
        <v>34</v>
      </c>
      <c r="D51" s="301"/>
      <c r="E51" s="247">
        <f t="shared" si="0"/>
        <v>36</v>
      </c>
      <c r="F51" s="49">
        <f>ROUND(F48-3*(F48-F53)/5,0)</f>
        <v>39</v>
      </c>
      <c r="G51" s="117" t="s">
        <v>74</v>
      </c>
      <c r="H51" s="247">
        <f t="shared" si="13"/>
        <v>32</v>
      </c>
      <c r="I51" s="49">
        <f>ROUND(I48-3*(I48-I53)/5,0)</f>
        <v>34</v>
      </c>
      <c r="J51" s="117" t="s">
        <v>74</v>
      </c>
      <c r="K51" s="247">
        <f t="shared" si="2"/>
        <v>29</v>
      </c>
      <c r="L51" s="49">
        <f>ROUND(L48-3*(L48-L53)/5,0)</f>
        <v>31</v>
      </c>
      <c r="M51" s="117" t="s">
        <v>74</v>
      </c>
      <c r="N51" s="247">
        <f t="shared" si="3"/>
        <v>15</v>
      </c>
      <c r="O51" s="49">
        <f>ROUND(O48-3*(O48-O53)/5,0)</f>
        <v>15</v>
      </c>
      <c r="P51" s="117" t="s">
        <v>74</v>
      </c>
      <c r="Q51" s="247">
        <f t="shared" si="4"/>
        <v>29</v>
      </c>
      <c r="R51" s="49">
        <f>ROUND(R48-3*(R48-R53)/5,0)</f>
        <v>31</v>
      </c>
      <c r="S51" s="117" t="s">
        <v>74</v>
      </c>
      <c r="T51" s="247">
        <f t="shared" si="5"/>
        <v>29</v>
      </c>
      <c r="U51" s="49">
        <f>ROUND(U48-3*(U48-U53)/5,0)</f>
        <v>31</v>
      </c>
      <c r="V51" s="117" t="s">
        <v>74</v>
      </c>
      <c r="W51" s="247">
        <f t="shared" si="6"/>
        <v>29</v>
      </c>
      <c r="X51" s="49">
        <f>ROUND(X48-3*(X48-X53)/5,0)</f>
        <v>31</v>
      </c>
      <c r="Y51" s="117" t="s">
        <v>74</v>
      </c>
      <c r="Z51" s="247">
        <f t="shared" si="7"/>
        <v>29</v>
      </c>
      <c r="AA51" s="49">
        <f>ROUND(AA48-3*(AA48-AA53)/5,0)</f>
        <v>31</v>
      </c>
      <c r="AB51" s="117" t="s">
        <v>74</v>
      </c>
      <c r="AC51" s="247">
        <f t="shared" si="8"/>
        <v>29</v>
      </c>
      <c r="AD51" s="49">
        <f>ROUND(AD48-3*(AD48-AD53)/5,0)</f>
        <v>31</v>
      </c>
      <c r="AE51" s="117" t="s">
        <v>74</v>
      </c>
    </row>
    <row r="52" spans="1:31" x14ac:dyDescent="0.2">
      <c r="A52">
        <v>8.9</v>
      </c>
      <c r="B52" s="297">
        <f t="shared" si="11"/>
        <v>29</v>
      </c>
      <c r="C52" s="297">
        <f t="shared" si="12"/>
        <v>31</v>
      </c>
      <c r="D52" s="301"/>
      <c r="E52" s="247">
        <f t="shared" si="0"/>
        <v>32</v>
      </c>
      <c r="F52" s="49">
        <f>ROUND(F48-4*(F48-F53)/5,0)</f>
        <v>35</v>
      </c>
      <c r="G52" s="117" t="s">
        <v>74</v>
      </c>
      <c r="H52" s="247">
        <f t="shared" si="13"/>
        <v>29</v>
      </c>
      <c r="I52" s="49">
        <f>ROUND(I48-4*(I48-I53)/5,0)</f>
        <v>31</v>
      </c>
      <c r="J52" s="117" t="s">
        <v>74</v>
      </c>
      <c r="K52" s="247">
        <f t="shared" si="2"/>
        <v>26</v>
      </c>
      <c r="L52" s="49">
        <f>ROUND(L48-4*(L48-L53)/5,0)</f>
        <v>28</v>
      </c>
      <c r="M52" s="117" t="s">
        <v>74</v>
      </c>
      <c r="N52" s="247">
        <f t="shared" si="3"/>
        <v>14</v>
      </c>
      <c r="O52" s="49">
        <f>ROUND(O48-4*(O48-O53)/5,0)</f>
        <v>14</v>
      </c>
      <c r="P52" s="117" t="s">
        <v>74</v>
      </c>
      <c r="Q52" s="247">
        <f t="shared" si="4"/>
        <v>26</v>
      </c>
      <c r="R52" s="49">
        <f>ROUND(R48-4*(R48-R53)/5,0)</f>
        <v>28</v>
      </c>
      <c r="S52" s="117" t="s">
        <v>74</v>
      </c>
      <c r="T52" s="247">
        <f t="shared" si="5"/>
        <v>26</v>
      </c>
      <c r="U52" s="49">
        <f>ROUND(U48-4*(U48-U53)/5,0)</f>
        <v>28</v>
      </c>
      <c r="V52" s="117" t="s">
        <v>74</v>
      </c>
      <c r="W52" s="247">
        <f t="shared" si="6"/>
        <v>26</v>
      </c>
      <c r="X52" s="49">
        <f>ROUND(X48-4*(X48-X53)/5,0)</f>
        <v>28</v>
      </c>
      <c r="Y52" s="117" t="s">
        <v>74</v>
      </c>
      <c r="Z52" s="247">
        <f t="shared" si="7"/>
        <v>26</v>
      </c>
      <c r="AA52" s="49">
        <f>ROUND(AA48-4*(AA48-AA53)/5,0)</f>
        <v>28</v>
      </c>
      <c r="AB52" s="117" t="s">
        <v>74</v>
      </c>
      <c r="AC52" s="247">
        <f t="shared" si="8"/>
        <v>26</v>
      </c>
      <c r="AD52" s="49">
        <f>ROUND(AD48-4*(AD48-AD53)/5,0)</f>
        <v>28</v>
      </c>
      <c r="AE52" s="117" t="s">
        <v>74</v>
      </c>
    </row>
    <row r="53" spans="1:31" x14ac:dyDescent="0.2">
      <c r="A53" s="30">
        <v>9</v>
      </c>
      <c r="B53" s="16">
        <f t="shared" si="11"/>
        <v>26</v>
      </c>
      <c r="C53" s="16">
        <f t="shared" si="12"/>
        <v>28</v>
      </c>
      <c r="D53" s="300"/>
      <c r="E53" s="247">
        <f t="shared" si="0"/>
        <v>29</v>
      </c>
      <c r="F53" s="295">
        <v>31</v>
      </c>
      <c r="G53" s="117"/>
      <c r="H53" s="247">
        <f t="shared" si="13"/>
        <v>26</v>
      </c>
      <c r="I53" s="261">
        <v>28</v>
      </c>
      <c r="J53" s="117"/>
      <c r="K53" s="247">
        <f t="shared" si="2"/>
        <v>24</v>
      </c>
      <c r="L53" s="261">
        <v>25</v>
      </c>
      <c r="M53" s="117"/>
      <c r="N53" s="247">
        <f t="shared" si="3"/>
        <v>13</v>
      </c>
      <c r="O53" s="261">
        <v>13</v>
      </c>
      <c r="P53" s="117"/>
      <c r="Q53" s="247">
        <f t="shared" si="4"/>
        <v>24</v>
      </c>
      <c r="R53" s="261">
        <v>25</v>
      </c>
      <c r="S53" s="117"/>
      <c r="T53" s="247">
        <f t="shared" si="5"/>
        <v>24</v>
      </c>
      <c r="U53" s="261">
        <v>25</v>
      </c>
      <c r="V53" s="117"/>
      <c r="W53" s="247">
        <f t="shared" si="6"/>
        <v>24</v>
      </c>
      <c r="X53" s="261">
        <v>25</v>
      </c>
      <c r="Y53" s="117"/>
      <c r="Z53" s="247">
        <f t="shared" si="7"/>
        <v>24</v>
      </c>
      <c r="AA53" s="261">
        <v>25</v>
      </c>
      <c r="AB53" s="117"/>
      <c r="AC53" s="247">
        <f t="shared" si="8"/>
        <v>24</v>
      </c>
      <c r="AD53" s="261">
        <v>25</v>
      </c>
      <c r="AE53" s="117"/>
    </row>
    <row r="54" spans="1:31" x14ac:dyDescent="0.2">
      <c r="A54">
        <v>9.1</v>
      </c>
      <c r="B54" s="297">
        <f t="shared" si="11"/>
        <v>23</v>
      </c>
      <c r="C54" s="297">
        <f t="shared" si="12"/>
        <v>25</v>
      </c>
      <c r="D54" s="301"/>
      <c r="E54" s="247">
        <f t="shared" si="0"/>
        <v>25</v>
      </c>
      <c r="F54" s="262">
        <f>ROUND(F53-1*(F53-F58)/5,0)</f>
        <v>28</v>
      </c>
      <c r="G54" s="117" t="s">
        <v>74</v>
      </c>
      <c r="H54" s="247">
        <f t="shared" si="13"/>
        <v>23</v>
      </c>
      <c r="I54" s="262">
        <f>ROUND(I53-1*(I53-I58)/5,0)</f>
        <v>25</v>
      </c>
      <c r="J54" s="117" t="s">
        <v>74</v>
      </c>
      <c r="K54" s="247">
        <f t="shared" si="2"/>
        <v>21</v>
      </c>
      <c r="L54" s="262">
        <f>ROUND(L53-1*(L53-L58)/5,0)</f>
        <v>23</v>
      </c>
      <c r="M54" s="117" t="s">
        <v>74</v>
      </c>
      <c r="N54" s="247">
        <f t="shared" si="3"/>
        <v>12</v>
      </c>
      <c r="O54" s="262">
        <f>ROUND(O53-1*(O53-O58)/5,0)</f>
        <v>12</v>
      </c>
      <c r="P54" s="117" t="s">
        <v>74</v>
      </c>
      <c r="Q54" s="247">
        <f t="shared" si="4"/>
        <v>21</v>
      </c>
      <c r="R54" s="262">
        <f>ROUND(R53-1*(R53-R58)/5,0)</f>
        <v>23</v>
      </c>
      <c r="S54" s="117" t="s">
        <v>74</v>
      </c>
      <c r="T54" s="247">
        <f t="shared" si="5"/>
        <v>21</v>
      </c>
      <c r="U54" s="262">
        <f>ROUND(U53-1*(U53-U58)/5,0)</f>
        <v>23</v>
      </c>
      <c r="V54" s="117" t="s">
        <v>74</v>
      </c>
      <c r="W54" s="247">
        <f t="shared" si="6"/>
        <v>21</v>
      </c>
      <c r="X54" s="262">
        <f>ROUND(X53-1*(X53-X58)/5,0)</f>
        <v>23</v>
      </c>
      <c r="Y54" s="117" t="s">
        <v>74</v>
      </c>
      <c r="Z54" s="247">
        <f t="shared" si="7"/>
        <v>21</v>
      </c>
      <c r="AA54" s="262">
        <f>ROUND(AA53-1*(AA53-AA58)/5,0)</f>
        <v>23</v>
      </c>
      <c r="AB54" s="117" t="s">
        <v>74</v>
      </c>
      <c r="AC54" s="247">
        <f t="shared" si="8"/>
        <v>21</v>
      </c>
      <c r="AD54" s="262">
        <f>ROUND(AD53-1*(AD53-AD58)/5,0)</f>
        <v>23</v>
      </c>
      <c r="AE54" s="117" t="s">
        <v>74</v>
      </c>
    </row>
    <row r="55" spans="1:31" x14ac:dyDescent="0.2">
      <c r="A55">
        <v>9.1999999999999993</v>
      </c>
      <c r="B55" s="297">
        <f t="shared" si="11"/>
        <v>21</v>
      </c>
      <c r="C55" s="297">
        <f t="shared" si="12"/>
        <v>22</v>
      </c>
      <c r="D55" s="301"/>
      <c r="E55" s="247">
        <f t="shared" si="0"/>
        <v>22</v>
      </c>
      <c r="F55" s="49">
        <f>ROUND(F53-2*(F53-F58)/5,0)</f>
        <v>24</v>
      </c>
      <c r="G55" s="117" t="s">
        <v>74</v>
      </c>
      <c r="H55" s="247">
        <f t="shared" si="13"/>
        <v>21</v>
      </c>
      <c r="I55" s="49">
        <f>ROUND(I53-2*(I53-I58)/5,0)</f>
        <v>22</v>
      </c>
      <c r="J55" s="117" t="s">
        <v>74</v>
      </c>
      <c r="K55" s="247">
        <f t="shared" si="2"/>
        <v>19</v>
      </c>
      <c r="L55" s="49">
        <f>ROUND(L53-2*(L53-L58)/5,0)</f>
        <v>20</v>
      </c>
      <c r="M55" s="117" t="s">
        <v>74</v>
      </c>
      <c r="N55" s="247">
        <f t="shared" si="3"/>
        <v>12</v>
      </c>
      <c r="O55" s="49">
        <f>ROUND(O53-2*(O53-O58)/5,0)</f>
        <v>11</v>
      </c>
      <c r="P55" s="117" t="s">
        <v>74</v>
      </c>
      <c r="Q55" s="247">
        <f t="shared" si="4"/>
        <v>19</v>
      </c>
      <c r="R55" s="49">
        <f>ROUND(R53-2*(R53-R58)/5,0)</f>
        <v>20</v>
      </c>
      <c r="S55" s="117" t="s">
        <v>74</v>
      </c>
      <c r="T55" s="247">
        <f t="shared" si="5"/>
        <v>19</v>
      </c>
      <c r="U55" s="49">
        <f>ROUND(U53-2*(U53-U58)/5,0)</f>
        <v>20</v>
      </c>
      <c r="V55" s="117" t="s">
        <v>74</v>
      </c>
      <c r="W55" s="247">
        <f t="shared" si="6"/>
        <v>19</v>
      </c>
      <c r="X55" s="49">
        <f>ROUND(X53-2*(X53-X58)/5,0)</f>
        <v>20</v>
      </c>
      <c r="Y55" s="117" t="s">
        <v>74</v>
      </c>
      <c r="Z55" s="247">
        <f t="shared" si="7"/>
        <v>19</v>
      </c>
      <c r="AA55" s="49">
        <f>ROUND(AA53-2*(AA53-AA58)/5,0)</f>
        <v>20</v>
      </c>
      <c r="AB55" s="117" t="s">
        <v>74</v>
      </c>
      <c r="AC55" s="247">
        <f t="shared" si="8"/>
        <v>19</v>
      </c>
      <c r="AD55" s="49">
        <f>ROUND(AD53-2*(AD53-AD58)/5,0)</f>
        <v>20</v>
      </c>
      <c r="AE55" s="117" t="s">
        <v>74</v>
      </c>
    </row>
    <row r="56" spans="1:31" x14ac:dyDescent="0.2">
      <c r="A56">
        <v>9.3000000000000007</v>
      </c>
      <c r="B56" s="297">
        <f t="shared" si="11"/>
        <v>18</v>
      </c>
      <c r="C56" s="297">
        <f t="shared" si="12"/>
        <v>20</v>
      </c>
      <c r="D56" s="301"/>
      <c r="E56" s="247">
        <f t="shared" si="0"/>
        <v>18</v>
      </c>
      <c r="F56" s="49">
        <f>ROUND(F53-3*(F53-F58)/5,0)</f>
        <v>21</v>
      </c>
      <c r="G56" s="117" t="s">
        <v>74</v>
      </c>
      <c r="H56" s="247">
        <f t="shared" si="13"/>
        <v>18</v>
      </c>
      <c r="I56" s="49">
        <f>ROUND(I53-3*(I53-I58)/5,0)</f>
        <v>20</v>
      </c>
      <c r="J56" s="117" t="s">
        <v>74</v>
      </c>
      <c r="K56" s="247">
        <f t="shared" si="2"/>
        <v>16</v>
      </c>
      <c r="L56" s="49">
        <f>ROUND(L53-3*(L53-L58)/5,0)</f>
        <v>18</v>
      </c>
      <c r="M56" s="117" t="s">
        <v>74</v>
      </c>
      <c r="N56" s="247">
        <f t="shared" si="3"/>
        <v>11</v>
      </c>
      <c r="O56" s="49">
        <f>ROUND(O53-3*(O53-O58)/5,0)</f>
        <v>11</v>
      </c>
      <c r="P56" s="117" t="s">
        <v>74</v>
      </c>
      <c r="Q56" s="247">
        <f t="shared" si="4"/>
        <v>16</v>
      </c>
      <c r="R56" s="49">
        <f>ROUND(R53-3*(R53-R58)/5,0)</f>
        <v>18</v>
      </c>
      <c r="S56" s="117" t="s">
        <v>74</v>
      </c>
      <c r="T56" s="247">
        <f t="shared" si="5"/>
        <v>16</v>
      </c>
      <c r="U56" s="49">
        <f>ROUND(U53-3*(U53-U58)/5,0)</f>
        <v>18</v>
      </c>
      <c r="V56" s="117" t="s">
        <v>74</v>
      </c>
      <c r="W56" s="247">
        <f t="shared" si="6"/>
        <v>16</v>
      </c>
      <c r="X56" s="49">
        <f>ROUND(X53-3*(X53-X58)/5,0)</f>
        <v>18</v>
      </c>
      <c r="Y56" s="117" t="s">
        <v>74</v>
      </c>
      <c r="Z56" s="247">
        <f t="shared" si="7"/>
        <v>16</v>
      </c>
      <c r="AA56" s="49">
        <f>ROUND(AA53-3*(AA53-AA58)/5,0)</f>
        <v>18</v>
      </c>
      <c r="AB56" s="117" t="s">
        <v>74</v>
      </c>
      <c r="AC56" s="247">
        <f t="shared" si="8"/>
        <v>16</v>
      </c>
      <c r="AD56" s="49">
        <f>ROUND(AD53-3*(AD53-AD58)/5,0)</f>
        <v>18</v>
      </c>
      <c r="AE56" s="117" t="s">
        <v>74</v>
      </c>
    </row>
    <row r="57" spans="1:31" x14ac:dyDescent="0.2">
      <c r="A57">
        <v>9.4</v>
      </c>
      <c r="B57" s="297">
        <f t="shared" si="11"/>
        <v>15</v>
      </c>
      <c r="C57" s="297">
        <f t="shared" si="12"/>
        <v>17</v>
      </c>
      <c r="D57" s="301"/>
      <c r="E57" s="247">
        <f t="shared" si="0"/>
        <v>15</v>
      </c>
      <c r="F57" s="49">
        <f>ROUND(F53-4*(F53-F58)/5,0)</f>
        <v>17</v>
      </c>
      <c r="G57" s="117" t="s">
        <v>74</v>
      </c>
      <c r="H57" s="247">
        <f t="shared" si="13"/>
        <v>15</v>
      </c>
      <c r="I57" s="49">
        <f>ROUND(I53-4*(I53-I58)/5,0)</f>
        <v>17</v>
      </c>
      <c r="J57" s="117" t="s">
        <v>74</v>
      </c>
      <c r="K57" s="247">
        <f t="shared" si="2"/>
        <v>14</v>
      </c>
      <c r="L57" s="49">
        <f>ROUND(L53-4*(L53-L58)/5,0)</f>
        <v>15</v>
      </c>
      <c r="M57" s="117" t="s">
        <v>74</v>
      </c>
      <c r="N57" s="247">
        <f t="shared" si="3"/>
        <v>10</v>
      </c>
      <c r="O57" s="49">
        <f>ROUND(O53-4*(O53-O58)/5,0)</f>
        <v>10</v>
      </c>
      <c r="P57" s="117" t="s">
        <v>74</v>
      </c>
      <c r="Q57" s="247">
        <f t="shared" si="4"/>
        <v>14</v>
      </c>
      <c r="R57" s="49">
        <f>ROUND(R53-4*(R53-R58)/5,0)</f>
        <v>15</v>
      </c>
      <c r="S57" s="117" t="s">
        <v>74</v>
      </c>
      <c r="T57" s="247">
        <f t="shared" si="5"/>
        <v>14</v>
      </c>
      <c r="U57" s="49">
        <f>ROUND(U53-4*(U53-U58)/5,0)</f>
        <v>15</v>
      </c>
      <c r="V57" s="117" t="s">
        <v>74</v>
      </c>
      <c r="W57" s="247">
        <f t="shared" si="6"/>
        <v>14</v>
      </c>
      <c r="X57" s="49">
        <f>ROUND(X53-4*(X53-X58)/5,0)</f>
        <v>15</v>
      </c>
      <c r="Y57" s="117" t="s">
        <v>74</v>
      </c>
      <c r="Z57" s="247">
        <f t="shared" si="7"/>
        <v>14</v>
      </c>
      <c r="AA57" s="49">
        <f>ROUND(AA53-4*(AA53-AA58)/5,0)</f>
        <v>15</v>
      </c>
      <c r="AB57" s="117" t="s">
        <v>74</v>
      </c>
      <c r="AC57" s="247">
        <f t="shared" si="8"/>
        <v>14</v>
      </c>
      <c r="AD57" s="49">
        <f>ROUND(AD53-4*(AD53-AD58)/5,0)</f>
        <v>15</v>
      </c>
      <c r="AE57" s="117" t="s">
        <v>74</v>
      </c>
    </row>
    <row r="58" spans="1:31" x14ac:dyDescent="0.2">
      <c r="A58" s="30">
        <v>9.5</v>
      </c>
      <c r="B58" s="16">
        <f t="shared" si="11"/>
        <v>13</v>
      </c>
      <c r="C58" s="16">
        <f t="shared" si="12"/>
        <v>14</v>
      </c>
      <c r="D58" s="300"/>
      <c r="E58" s="247">
        <f t="shared" si="0"/>
        <v>12</v>
      </c>
      <c r="F58" s="295">
        <v>14</v>
      </c>
      <c r="G58" s="117"/>
      <c r="H58" s="247">
        <f t="shared" si="13"/>
        <v>13</v>
      </c>
      <c r="I58" s="261">
        <v>14</v>
      </c>
      <c r="J58" s="117"/>
      <c r="K58" s="247">
        <f t="shared" si="2"/>
        <v>12</v>
      </c>
      <c r="L58" s="261">
        <v>13</v>
      </c>
      <c r="M58" s="117"/>
      <c r="N58" s="247">
        <f t="shared" si="3"/>
        <v>9</v>
      </c>
      <c r="O58" s="261">
        <v>9</v>
      </c>
      <c r="P58" s="117"/>
      <c r="Q58" s="247">
        <f t="shared" si="4"/>
        <v>12</v>
      </c>
      <c r="R58" s="261">
        <v>13</v>
      </c>
      <c r="S58" s="117"/>
      <c r="T58" s="247">
        <f t="shared" si="5"/>
        <v>12</v>
      </c>
      <c r="U58" s="261">
        <v>13</v>
      </c>
      <c r="V58" s="117"/>
      <c r="W58" s="247">
        <f t="shared" si="6"/>
        <v>12</v>
      </c>
      <c r="X58" s="261">
        <v>13</v>
      </c>
      <c r="Y58" s="117"/>
      <c r="Z58" s="247">
        <f t="shared" si="7"/>
        <v>12</v>
      </c>
      <c r="AA58" s="261">
        <v>13</v>
      </c>
      <c r="AB58" s="117"/>
      <c r="AC58" s="247">
        <f t="shared" si="8"/>
        <v>12</v>
      </c>
      <c r="AD58" s="261">
        <v>13</v>
      </c>
      <c r="AE58" s="117"/>
    </row>
    <row r="59" spans="1:31" x14ac:dyDescent="0.2">
      <c r="A59">
        <v>9.6</v>
      </c>
      <c r="B59" s="297">
        <f t="shared" si="11"/>
        <v>10</v>
      </c>
      <c r="C59" s="297">
        <f t="shared" si="12"/>
        <v>12</v>
      </c>
      <c r="D59" s="301"/>
      <c r="E59" s="247">
        <f t="shared" si="0"/>
        <v>9</v>
      </c>
      <c r="F59" s="262">
        <f>ROUND(F58-1*(F58-F63)/5,0)</f>
        <v>11</v>
      </c>
      <c r="G59" s="117" t="s">
        <v>74</v>
      </c>
      <c r="H59" s="247">
        <f t="shared" si="13"/>
        <v>10</v>
      </c>
      <c r="I59" s="262">
        <f>ROUND(I58-1*(I58-I63)/5,0)</f>
        <v>12</v>
      </c>
      <c r="J59" s="117" t="s">
        <v>74</v>
      </c>
      <c r="K59" s="247">
        <f t="shared" si="2"/>
        <v>10</v>
      </c>
      <c r="L59" s="262">
        <f>ROUND(L58-1*(L58-L63)/5,0)</f>
        <v>11</v>
      </c>
      <c r="M59" s="117" t="s">
        <v>74</v>
      </c>
      <c r="N59" s="247">
        <f t="shared" si="3"/>
        <v>9</v>
      </c>
      <c r="O59" s="262">
        <f>ROUND(O58-1*(O58-O63)/5,0)</f>
        <v>8</v>
      </c>
      <c r="P59" s="117" t="s">
        <v>74</v>
      </c>
      <c r="Q59" s="247">
        <f t="shared" si="4"/>
        <v>10</v>
      </c>
      <c r="R59" s="262">
        <f>ROUND(R58-1*(R58-R63)/5,0)</f>
        <v>11</v>
      </c>
      <c r="S59" s="117" t="s">
        <v>74</v>
      </c>
      <c r="T59" s="247">
        <f t="shared" si="5"/>
        <v>10</v>
      </c>
      <c r="U59" s="262">
        <f>ROUND(U58-1*(U58-U63)/5,0)</f>
        <v>11</v>
      </c>
      <c r="V59" s="117" t="s">
        <v>74</v>
      </c>
      <c r="W59" s="247">
        <f t="shared" si="6"/>
        <v>10</v>
      </c>
      <c r="X59" s="262">
        <f>ROUND(X58-1*(X58-X63)/5,0)</f>
        <v>11</v>
      </c>
      <c r="Y59" s="117" t="s">
        <v>74</v>
      </c>
      <c r="Z59" s="247">
        <f t="shared" si="7"/>
        <v>10</v>
      </c>
      <c r="AA59" s="262">
        <f>ROUND(AA58-1*(AA58-AA63)/5,0)</f>
        <v>11</v>
      </c>
      <c r="AB59" s="117" t="s">
        <v>74</v>
      </c>
      <c r="AC59" s="247">
        <f t="shared" si="8"/>
        <v>10</v>
      </c>
      <c r="AD59" s="262">
        <f>ROUND(AD58-1*(AD58-AD63)/5,0)</f>
        <v>11</v>
      </c>
      <c r="AE59" s="117" t="s">
        <v>74</v>
      </c>
    </row>
    <row r="60" spans="1:31" x14ac:dyDescent="0.2">
      <c r="A60">
        <v>9.6999999999999993</v>
      </c>
      <c r="B60" s="297">
        <f t="shared" si="11"/>
        <v>8</v>
      </c>
      <c r="C60" s="297">
        <f t="shared" si="12"/>
        <v>9</v>
      </c>
      <c r="D60" s="301"/>
      <c r="E60" s="247">
        <f t="shared" si="0"/>
        <v>7</v>
      </c>
      <c r="F60" s="49">
        <f>ROUND(F58-2*(F58-F63)/5,0)</f>
        <v>8</v>
      </c>
      <c r="G60" s="117" t="s">
        <v>74</v>
      </c>
      <c r="H60" s="247">
        <f t="shared" si="13"/>
        <v>8</v>
      </c>
      <c r="I60" s="49">
        <f>ROUND(I58-2*(I58-I63)/5,0)</f>
        <v>9</v>
      </c>
      <c r="J60" s="117" t="s">
        <v>74</v>
      </c>
      <c r="K60" s="247">
        <f t="shared" si="2"/>
        <v>7</v>
      </c>
      <c r="L60" s="49">
        <f>ROUND(L58-2*(L58-L63)/5,0)</f>
        <v>9</v>
      </c>
      <c r="M60" s="117" t="s">
        <v>74</v>
      </c>
      <c r="N60" s="247">
        <f t="shared" si="3"/>
        <v>8</v>
      </c>
      <c r="O60" s="49">
        <f>ROUND(O58-2*(O58-O63)/5,0)</f>
        <v>8</v>
      </c>
      <c r="P60" s="117" t="s">
        <v>74</v>
      </c>
      <c r="Q60" s="247">
        <f t="shared" si="4"/>
        <v>7</v>
      </c>
      <c r="R60" s="49">
        <f>ROUND(R58-2*(R58-R63)/5,0)</f>
        <v>9</v>
      </c>
      <c r="S60" s="117" t="s">
        <v>74</v>
      </c>
      <c r="T60" s="247">
        <f t="shared" si="5"/>
        <v>7</v>
      </c>
      <c r="U60" s="49">
        <f>ROUND(U58-2*(U58-U63)/5,0)</f>
        <v>9</v>
      </c>
      <c r="V60" s="117" t="s">
        <v>74</v>
      </c>
      <c r="W60" s="247">
        <f t="shared" si="6"/>
        <v>7</v>
      </c>
      <c r="X60" s="49">
        <f>ROUND(X58-2*(X58-X63)/5,0)</f>
        <v>9</v>
      </c>
      <c r="Y60" s="117" t="s">
        <v>74</v>
      </c>
      <c r="Z60" s="247">
        <f t="shared" si="7"/>
        <v>7</v>
      </c>
      <c r="AA60" s="49">
        <f>ROUND(AA58-2*(AA58-AA63)/5,0)</f>
        <v>9</v>
      </c>
      <c r="AB60" s="117" t="s">
        <v>74</v>
      </c>
      <c r="AC60" s="247">
        <f t="shared" si="8"/>
        <v>7</v>
      </c>
      <c r="AD60" s="49">
        <f>ROUND(AD58-2*(AD58-AD63)/5,0)</f>
        <v>9</v>
      </c>
      <c r="AE60" s="117" t="s">
        <v>74</v>
      </c>
    </row>
    <row r="61" spans="1:31" x14ac:dyDescent="0.2">
      <c r="A61">
        <v>9.8000000000000007</v>
      </c>
      <c r="B61" s="297">
        <f t="shared" si="11"/>
        <v>5</v>
      </c>
      <c r="C61" s="297">
        <f t="shared" si="12"/>
        <v>7</v>
      </c>
      <c r="D61" s="301"/>
      <c r="E61" s="247">
        <f t="shared" si="0"/>
        <v>4</v>
      </c>
      <c r="F61" s="49">
        <f>ROUND(F58-3*(F58-F63)/5,0)</f>
        <v>6</v>
      </c>
      <c r="G61" s="117" t="s">
        <v>74</v>
      </c>
      <c r="H61" s="247">
        <f t="shared" si="13"/>
        <v>5</v>
      </c>
      <c r="I61" s="49">
        <f>ROUND(I58-3*(I58-I63)/5,0)</f>
        <v>7</v>
      </c>
      <c r="J61" s="117" t="s">
        <v>74</v>
      </c>
      <c r="K61" s="247">
        <f t="shared" si="2"/>
        <v>5</v>
      </c>
      <c r="L61" s="49">
        <f>ROUND(L58-3*(L58-L63)/5,0)</f>
        <v>6</v>
      </c>
      <c r="M61" s="117" t="s">
        <v>74</v>
      </c>
      <c r="N61" s="247">
        <f t="shared" si="3"/>
        <v>8</v>
      </c>
      <c r="O61" s="49">
        <f>ROUND(O58-3*(O58-O63)/5,0)</f>
        <v>7</v>
      </c>
      <c r="P61" s="117" t="s">
        <v>74</v>
      </c>
      <c r="Q61" s="247">
        <f t="shared" si="4"/>
        <v>5</v>
      </c>
      <c r="R61" s="49">
        <f>ROUND(R58-3*(R58-R63)/5,0)</f>
        <v>6</v>
      </c>
      <c r="S61" s="117" t="s">
        <v>74</v>
      </c>
      <c r="T61" s="247">
        <f t="shared" si="5"/>
        <v>5</v>
      </c>
      <c r="U61" s="49">
        <f>ROUND(U58-3*(U58-U63)/5,0)</f>
        <v>6</v>
      </c>
      <c r="V61" s="117" t="s">
        <v>74</v>
      </c>
      <c r="W61" s="247">
        <f t="shared" si="6"/>
        <v>5</v>
      </c>
      <c r="X61" s="49">
        <f>ROUND(X58-3*(X58-X63)/5,0)</f>
        <v>6</v>
      </c>
      <c r="Y61" s="117" t="s">
        <v>74</v>
      </c>
      <c r="Z61" s="247">
        <f t="shared" si="7"/>
        <v>5</v>
      </c>
      <c r="AA61" s="49">
        <f>ROUND(AA58-3*(AA58-AA63)/5,0)</f>
        <v>6</v>
      </c>
      <c r="AB61" s="117" t="s">
        <v>74</v>
      </c>
      <c r="AC61" s="247">
        <f t="shared" si="8"/>
        <v>5</v>
      </c>
      <c r="AD61" s="49">
        <f>ROUND(AD58-3*(AD58-AD63)/5,0)</f>
        <v>6</v>
      </c>
      <c r="AE61" s="117" t="s">
        <v>74</v>
      </c>
    </row>
    <row r="62" spans="1:31" x14ac:dyDescent="0.2">
      <c r="A62">
        <v>9.9</v>
      </c>
      <c r="B62" s="297">
        <f t="shared" si="11"/>
        <v>3</v>
      </c>
      <c r="C62" s="297">
        <f t="shared" si="12"/>
        <v>4</v>
      </c>
      <c r="D62" s="301"/>
      <c r="E62" s="247">
        <f t="shared" si="0"/>
        <v>1</v>
      </c>
      <c r="F62" s="49">
        <f>ROUND(F58-4*(F58-F63)/5,0)</f>
        <v>3</v>
      </c>
      <c r="G62" s="117" t="s">
        <v>74</v>
      </c>
      <c r="H62" s="247">
        <f t="shared" si="13"/>
        <v>3</v>
      </c>
      <c r="I62" s="49">
        <f>ROUND(I58-4*(I58-I63)/5,0)</f>
        <v>4</v>
      </c>
      <c r="J62" s="117" t="s">
        <v>74</v>
      </c>
      <c r="K62" s="247">
        <f t="shared" si="2"/>
        <v>3</v>
      </c>
      <c r="L62" s="49">
        <f>ROUND(L58-4*(L58-L63)/5,0)</f>
        <v>4</v>
      </c>
      <c r="M62" s="117" t="s">
        <v>74</v>
      </c>
      <c r="N62" s="247">
        <f t="shared" si="3"/>
        <v>7</v>
      </c>
      <c r="O62" s="49">
        <f>ROUND(O58-4*(O58-O63)/5,0)</f>
        <v>7</v>
      </c>
      <c r="P62" s="117" t="s">
        <v>74</v>
      </c>
      <c r="Q62" s="247">
        <f t="shared" si="4"/>
        <v>3</v>
      </c>
      <c r="R62" s="49">
        <f>ROUND(R58-4*(R58-R63)/5,0)</f>
        <v>4</v>
      </c>
      <c r="S62" s="117" t="s">
        <v>74</v>
      </c>
      <c r="T62" s="247">
        <f t="shared" si="5"/>
        <v>3</v>
      </c>
      <c r="U62" s="49">
        <f>ROUND(U58-4*(U58-U63)/5,0)</f>
        <v>4</v>
      </c>
      <c r="V62" s="117" t="s">
        <v>74</v>
      </c>
      <c r="W62" s="247">
        <f t="shared" si="6"/>
        <v>3</v>
      </c>
      <c r="X62" s="49">
        <f>ROUND(X58-4*(X58-X63)/5,0)</f>
        <v>4</v>
      </c>
      <c r="Y62" s="117" t="s">
        <v>74</v>
      </c>
      <c r="Z62" s="247">
        <f t="shared" si="7"/>
        <v>3</v>
      </c>
      <c r="AA62" s="49">
        <f>ROUND(AA58-4*(AA58-AA63)/5,0)</f>
        <v>4</v>
      </c>
      <c r="AB62" s="117" t="s">
        <v>74</v>
      </c>
      <c r="AC62" s="247">
        <f t="shared" si="8"/>
        <v>3</v>
      </c>
      <c r="AD62" s="49">
        <f>ROUND(AD58-4*(AD58-AD63)/5,0)</f>
        <v>4</v>
      </c>
      <c r="AE62" s="117" t="s">
        <v>74</v>
      </c>
    </row>
    <row r="63" spans="1:31" x14ac:dyDescent="0.2">
      <c r="A63" s="30">
        <v>10</v>
      </c>
      <c r="B63" s="16">
        <f t="shared" si="11"/>
        <v>0</v>
      </c>
      <c r="C63" s="16">
        <f t="shared" si="12"/>
        <v>2</v>
      </c>
      <c r="D63" s="300"/>
      <c r="E63" s="48">
        <v>0</v>
      </c>
      <c r="F63" s="296">
        <v>0</v>
      </c>
      <c r="G63" s="264"/>
      <c r="H63" s="48">
        <v>0</v>
      </c>
      <c r="I63" s="263">
        <v>2</v>
      </c>
      <c r="J63" s="264"/>
      <c r="K63" s="48">
        <v>0</v>
      </c>
      <c r="L63" s="263">
        <v>2</v>
      </c>
      <c r="M63" s="264"/>
      <c r="N63" s="48">
        <v>0</v>
      </c>
      <c r="O63" s="263">
        <v>6</v>
      </c>
      <c r="P63" s="264"/>
      <c r="Q63" s="48">
        <v>0</v>
      </c>
      <c r="R63" s="263">
        <v>2</v>
      </c>
      <c r="S63" s="264"/>
      <c r="T63" s="48">
        <v>0</v>
      </c>
      <c r="U63" s="263">
        <v>2</v>
      </c>
      <c r="V63" s="264"/>
      <c r="W63" s="48">
        <v>0</v>
      </c>
      <c r="X63" s="263">
        <v>2</v>
      </c>
      <c r="Y63" s="264"/>
      <c r="Z63" s="48">
        <v>0</v>
      </c>
      <c r="AA63" s="263">
        <v>2</v>
      </c>
      <c r="AB63" s="264"/>
      <c r="AC63" s="48">
        <v>0</v>
      </c>
      <c r="AD63" s="263">
        <v>2</v>
      </c>
      <c r="AE63" s="264"/>
    </row>
  </sheetData>
  <mergeCells count="19">
    <mergeCell ref="B9:C9"/>
    <mergeCell ref="E9:F9"/>
    <mergeCell ref="E8:G8"/>
    <mergeCell ref="H9:I9"/>
    <mergeCell ref="H8:J8"/>
    <mergeCell ref="K9:L9"/>
    <mergeCell ref="K8:M8"/>
    <mergeCell ref="N8:P8"/>
    <mergeCell ref="N9:O9"/>
    <mergeCell ref="Z8:AB8"/>
    <mergeCell ref="Z9:AA9"/>
    <mergeCell ref="AC8:AE8"/>
    <mergeCell ref="AC9:AD9"/>
    <mergeCell ref="Q8:S8"/>
    <mergeCell ref="Q9:R9"/>
    <mergeCell ref="T8:V8"/>
    <mergeCell ref="T9:U9"/>
    <mergeCell ref="W8:Y8"/>
    <mergeCell ref="W9:X9"/>
  </mergeCells>
  <hyperlinks>
    <hyperlink ref="A2" r:id="rId1" xr:uid="{00000000-0004-0000-0700-000000000000}"/>
  </hyperlink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9"/>
  <sheetViews>
    <sheetView topLeftCell="A16" zoomScale="140" zoomScaleNormal="140" workbookViewId="0">
      <selection activeCell="D37" sqref="D37"/>
    </sheetView>
  </sheetViews>
  <sheetFormatPr defaultRowHeight="12.75" x14ac:dyDescent="0.2"/>
  <cols>
    <col min="1" max="1" width="42.28515625" customWidth="1"/>
    <col min="2" max="1025" width="11.42578125" customWidth="1"/>
  </cols>
  <sheetData>
    <row r="1" spans="1:2" x14ac:dyDescent="0.2">
      <c r="A1" s="4" t="s">
        <v>75</v>
      </c>
    </row>
    <row r="4" spans="1:2" x14ac:dyDescent="0.2">
      <c r="A4" t="s">
        <v>174</v>
      </c>
      <c r="B4" s="5">
        <v>45</v>
      </c>
    </row>
    <row r="5" spans="1:2" x14ac:dyDescent="0.2">
      <c r="A5" t="s">
        <v>76</v>
      </c>
      <c r="B5" s="171">
        <f>B4*24/1000</f>
        <v>1.08</v>
      </c>
    </row>
    <row r="6" spans="1:2" x14ac:dyDescent="0.2">
      <c r="A6" t="s">
        <v>225</v>
      </c>
      <c r="B6" s="179">
        <f>SQRT(energy_usage_practice_scaling)</f>
        <v>1</v>
      </c>
    </row>
    <row r="7" spans="1:2" x14ac:dyDescent="0.2">
      <c r="A7" t="s">
        <v>175</v>
      </c>
      <c r="B7" s="133">
        <f>B5*365*B6</f>
        <v>394.20000000000005</v>
      </c>
    </row>
    <row r="9" spans="1:2" x14ac:dyDescent="0.2">
      <c r="A9" t="s">
        <v>102</v>
      </c>
      <c r="B9" s="5">
        <v>0.6</v>
      </c>
    </row>
    <row r="10" spans="1:2" x14ac:dyDescent="0.2">
      <c r="A10" t="s">
        <v>56</v>
      </c>
      <c r="B10" s="178">
        <f>Occupancy_scaling</f>
        <v>0.83333333333333337</v>
      </c>
    </row>
    <row r="11" spans="1:2" x14ac:dyDescent="0.2">
      <c r="A11" t="s">
        <v>220</v>
      </c>
      <c r="B11" s="178">
        <f>SQRT(area_scaling)</f>
        <v>0.81853527718724506</v>
      </c>
    </row>
    <row r="12" spans="1:2" x14ac:dyDescent="0.2">
      <c r="A12" t="s">
        <v>225</v>
      </c>
      <c r="B12" s="179">
        <f>SQRT(energy_usage_practice_scaling)</f>
        <v>1</v>
      </c>
    </row>
    <row r="13" spans="1:2" x14ac:dyDescent="0.2">
      <c r="A13" t="s">
        <v>289</v>
      </c>
      <c r="B13" s="133">
        <f>B9*365*Occupancy_scaling*area_scaling*B12</f>
        <v>122.27500000000001</v>
      </c>
    </row>
    <row r="15" spans="1:2" x14ac:dyDescent="0.2">
      <c r="A15" t="s">
        <v>103</v>
      </c>
      <c r="B15" s="5">
        <v>1.27</v>
      </c>
    </row>
    <row r="16" spans="1:2" x14ac:dyDescent="0.2">
      <c r="A16" t="s">
        <v>56</v>
      </c>
      <c r="B16" s="178">
        <f>Occupancy_scaling</f>
        <v>0.83333333333333337</v>
      </c>
    </row>
    <row r="17" spans="1:2" x14ac:dyDescent="0.2">
      <c r="A17" t="s">
        <v>225</v>
      </c>
      <c r="B17" s="179">
        <f>SQRT(energy_usage_practice_scaling)</f>
        <v>1</v>
      </c>
    </row>
    <row r="18" spans="1:2" x14ac:dyDescent="0.2">
      <c r="A18" t="s">
        <v>290</v>
      </c>
      <c r="B18" s="134">
        <f>B15*365*B16*B17</f>
        <v>386.29166666666669</v>
      </c>
    </row>
    <row r="20" spans="1:2" x14ac:dyDescent="0.2">
      <c r="A20" t="s">
        <v>104</v>
      </c>
      <c r="B20" s="5">
        <v>3.41</v>
      </c>
    </row>
    <row r="21" spans="1:2" x14ac:dyDescent="0.2">
      <c r="A21" t="s">
        <v>56</v>
      </c>
      <c r="B21" s="178">
        <f>Occupancy_scaling</f>
        <v>0.83333333333333337</v>
      </c>
    </row>
    <row r="22" spans="1:2" x14ac:dyDescent="0.2">
      <c r="A22" t="s">
        <v>225</v>
      </c>
      <c r="B22" s="179">
        <f>SQRT(energy_usage_practice_scaling)</f>
        <v>1</v>
      </c>
    </row>
    <row r="23" spans="1:2" x14ac:dyDescent="0.2">
      <c r="A23" t="s">
        <v>291</v>
      </c>
      <c r="B23" s="133">
        <f>B20*365*B21*B22</f>
        <v>1037.2083333333335</v>
      </c>
    </row>
    <row r="25" spans="1:2" x14ac:dyDescent="0.2">
      <c r="A25" t="s">
        <v>167</v>
      </c>
      <c r="B25" s="125">
        <v>1.27</v>
      </c>
    </row>
    <row r="26" spans="1:2" x14ac:dyDescent="0.2">
      <c r="A26" t="s">
        <v>56</v>
      </c>
      <c r="B26" s="178">
        <f>Occupancy_scaling</f>
        <v>0.83333333333333337</v>
      </c>
    </row>
    <row r="27" spans="1:2" x14ac:dyDescent="0.2">
      <c r="A27" t="s">
        <v>221</v>
      </c>
      <c r="B27" s="178">
        <v>0.33</v>
      </c>
    </row>
    <row r="28" spans="1:2" x14ac:dyDescent="0.2">
      <c r="A28" t="s">
        <v>225</v>
      </c>
      <c r="B28" s="179">
        <f>SQRT(energy_usage_practice_scaling)</f>
        <v>1</v>
      </c>
    </row>
    <row r="29" spans="1:2" x14ac:dyDescent="0.2">
      <c r="A29" t="s">
        <v>292</v>
      </c>
      <c r="B29" s="133">
        <f>B25*365*Occupancy_scaling*B27*B26*B28</f>
        <v>106.23020833333334</v>
      </c>
    </row>
    <row r="35" spans="1:3" x14ac:dyDescent="0.2">
      <c r="A35" t="s">
        <v>233</v>
      </c>
      <c r="B35" t="s">
        <v>187</v>
      </c>
      <c r="C35" t="s">
        <v>234</v>
      </c>
    </row>
    <row r="36" spans="1:3" x14ac:dyDescent="0.2">
      <c r="B36" t="s">
        <v>143</v>
      </c>
      <c r="C36" s="13">
        <v>0.146976744186047</v>
      </c>
    </row>
    <row r="37" spans="1:3" x14ac:dyDescent="0.2">
      <c r="B37" t="s">
        <v>152</v>
      </c>
      <c r="C37" s="13">
        <v>0.28093023255813998</v>
      </c>
    </row>
    <row r="38" spans="1:3" x14ac:dyDescent="0.2">
      <c r="B38" t="s">
        <v>145</v>
      </c>
      <c r="C38" s="13">
        <v>0.33534883720930198</v>
      </c>
    </row>
    <row r="39" spans="1:3" x14ac:dyDescent="0.2">
      <c r="B39" t="s">
        <v>146</v>
      </c>
      <c r="C39" s="13">
        <v>0.23674418604651201</v>
      </c>
    </row>
  </sheetData>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Roman,Regular"&amp;12&amp;A</oddHeader>
    <oddFooter>&amp;C&amp;"Times New Roman,Regular"&amp;12Page &amp;P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5"/>
  <sheetViews>
    <sheetView topLeftCell="A19" zoomScale="140" zoomScaleNormal="140" workbookViewId="0">
      <selection activeCell="B8" sqref="B8"/>
    </sheetView>
  </sheetViews>
  <sheetFormatPr defaultRowHeight="12.75" x14ac:dyDescent="0.2"/>
  <cols>
    <col min="1" max="1" width="57.5703125" customWidth="1"/>
    <col min="2" max="2" width="13.140625" customWidth="1"/>
    <col min="3" max="4" width="14.85546875" customWidth="1"/>
    <col min="5" max="5" width="13.42578125" customWidth="1"/>
    <col min="6" max="6" width="12.5703125" customWidth="1"/>
    <col min="7" max="1025" width="11.42578125" customWidth="1"/>
  </cols>
  <sheetData>
    <row r="1" spans="1:9" x14ac:dyDescent="0.2">
      <c r="A1" s="4" t="s">
        <v>77</v>
      </c>
    </row>
    <row r="2" spans="1:9" x14ac:dyDescent="0.2">
      <c r="A2" s="4"/>
    </row>
    <row r="3" spans="1:9" x14ac:dyDescent="0.2">
      <c r="A3" t="s">
        <v>78</v>
      </c>
    </row>
    <row r="5" spans="1:9" x14ac:dyDescent="0.2">
      <c r="A5" t="s">
        <v>56</v>
      </c>
      <c r="B5" s="116">
        <f>Occupancy_scaling</f>
        <v>0.83333333333333337</v>
      </c>
      <c r="C5" s="80"/>
      <c r="D5" s="80"/>
    </row>
    <row r="6" spans="1:9" x14ac:dyDescent="0.2">
      <c r="A6" t="s">
        <v>79</v>
      </c>
    </row>
    <row r="7" spans="1:9" x14ac:dyDescent="0.2">
      <c r="A7" s="22" t="s">
        <v>107</v>
      </c>
      <c r="B7" s="22">
        <v>1</v>
      </c>
      <c r="C7" s="22"/>
      <c r="D7" s="22"/>
    </row>
    <row r="8" spans="1:9" x14ac:dyDescent="0.2">
      <c r="A8" t="s">
        <v>80</v>
      </c>
      <c r="B8" s="13">
        <v>0.5</v>
      </c>
    </row>
    <row r="10" spans="1:9" x14ac:dyDescent="0.2">
      <c r="B10" s="285" t="s">
        <v>81</v>
      </c>
      <c r="C10" s="285"/>
      <c r="D10" s="285"/>
      <c r="E10" s="285"/>
    </row>
    <row r="11" spans="1:9" ht="42.75" customHeight="1" x14ac:dyDescent="0.2">
      <c r="A11" s="32" t="s">
        <v>52</v>
      </c>
      <c r="B11" s="33" t="s">
        <v>82</v>
      </c>
      <c r="C11" s="34" t="s">
        <v>83</v>
      </c>
      <c r="D11" s="34" t="s">
        <v>84</v>
      </c>
      <c r="E11" s="33" t="s">
        <v>85</v>
      </c>
      <c r="F11" s="33"/>
      <c r="G11" s="34"/>
      <c r="H11" s="33"/>
      <c r="I11" s="33"/>
    </row>
    <row r="12" spans="1:9" x14ac:dyDescent="0.2">
      <c r="A12" t="s">
        <v>30</v>
      </c>
      <c r="B12" s="30">
        <v>54.9657534246575</v>
      </c>
      <c r="C12" s="35">
        <v>31</v>
      </c>
      <c r="D12" s="31">
        <f>C12*(B$7+B$8/2*-COS((SUM(C$12:C12)-15/365)*PI()/180))</f>
        <v>24.35409215857138</v>
      </c>
      <c r="E12" s="14">
        <f t="shared" ref="E12:E23" si="0">D12+B$5*(B12-D12)</f>
        <v>49.863809880309816</v>
      </c>
      <c r="F12" s="14"/>
      <c r="G12" s="21"/>
      <c r="H12" s="148"/>
      <c r="I12" s="14"/>
    </row>
    <row r="13" spans="1:9" x14ac:dyDescent="0.2">
      <c r="A13" t="s">
        <v>31</v>
      </c>
      <c r="B13" s="30">
        <v>49.557220708446899</v>
      </c>
      <c r="C13" s="35">
        <v>28</v>
      </c>
      <c r="D13" s="31">
        <f>C13*(B$7+B$8/2*-COS((SUM(C$12:C13)-15/365)*PI()/180))</f>
        <v>24.390430729074378</v>
      </c>
      <c r="E13" s="14">
        <f t="shared" si="0"/>
        <v>45.362755711884816</v>
      </c>
      <c r="F13" s="14"/>
      <c r="G13" s="21"/>
      <c r="H13" s="148"/>
      <c r="I13" s="14"/>
    </row>
    <row r="14" spans="1:9" x14ac:dyDescent="0.2">
      <c r="A14" t="s">
        <v>32</v>
      </c>
      <c r="B14" s="30">
        <v>57.253521126760603</v>
      </c>
      <c r="C14" s="35">
        <v>31</v>
      </c>
      <c r="D14" s="31">
        <f>C14*(B$7+B$8/2*-COS((SUM(C$12:C14)-15/365)*PI()/180))</f>
        <v>30.994441246352121</v>
      </c>
      <c r="E14" s="14">
        <f t="shared" si="0"/>
        <v>52.877007813359185</v>
      </c>
      <c r="F14" s="14"/>
      <c r="G14" s="21"/>
      <c r="H14" s="148"/>
      <c r="I14" s="14"/>
    </row>
    <row r="15" spans="1:9" x14ac:dyDescent="0.2">
      <c r="A15" t="s">
        <v>33</v>
      </c>
      <c r="B15" s="30">
        <v>60.585585585585598</v>
      </c>
      <c r="C15" s="35">
        <v>30</v>
      </c>
      <c r="D15" s="31">
        <f>C15*(B$7+B$8/2*-COS((SUM(C$12:C15)-15/365)*PI()/180))</f>
        <v>33.74534030454344</v>
      </c>
      <c r="E15" s="14">
        <f t="shared" si="0"/>
        <v>56.112211372078576</v>
      </c>
      <c r="F15" s="14"/>
      <c r="G15" s="21"/>
      <c r="H15" s="148"/>
      <c r="I15" s="14"/>
    </row>
    <row r="16" spans="1:9" x14ac:dyDescent="0.2">
      <c r="A16" t="s">
        <v>34</v>
      </c>
      <c r="B16" s="30">
        <v>68.1709265175719</v>
      </c>
      <c r="C16" s="35">
        <v>31</v>
      </c>
      <c r="D16" s="31">
        <f>C16*(B$7+B$8/2*-COS((SUM(C$12:C16)-15/365)*PI()/180))</f>
        <v>37.775606049502869</v>
      </c>
      <c r="E16" s="14">
        <f t="shared" si="0"/>
        <v>63.105039772893733</v>
      </c>
      <c r="F16" s="14"/>
      <c r="G16" s="21"/>
      <c r="H16" s="148"/>
      <c r="I16" s="14"/>
    </row>
    <row r="17" spans="1:9" x14ac:dyDescent="0.2">
      <c r="A17" t="s">
        <v>35</v>
      </c>
      <c r="B17" s="30">
        <v>71.440677966101703</v>
      </c>
      <c r="C17" s="35">
        <v>30</v>
      </c>
      <c r="D17" s="31">
        <f>C17*(B$7+B$8/2*-COS((SUM(C$12:C17)-15/365)*PI()/180))</f>
        <v>37.498949668898319</v>
      </c>
      <c r="E17" s="14">
        <f t="shared" si="0"/>
        <v>65.783723249901144</v>
      </c>
      <c r="F17" s="14"/>
      <c r="G17" s="21"/>
      <c r="H17" s="148"/>
      <c r="I17" s="14"/>
    </row>
    <row r="18" spans="1:9" x14ac:dyDescent="0.2">
      <c r="A18" t="s">
        <v>36</v>
      </c>
      <c r="B18" s="30">
        <v>76.567944250871093</v>
      </c>
      <c r="C18" s="35">
        <v>30</v>
      </c>
      <c r="D18" s="31">
        <f>C18*(B$7+B$8/2*-COS((SUM(C$12:C18)-15/365)*PI()/180))</f>
        <v>36.431523717511567</v>
      </c>
      <c r="E18" s="14">
        <f t="shared" si="0"/>
        <v>69.878540828644503</v>
      </c>
      <c r="F18" s="14"/>
      <c r="G18" s="21"/>
      <c r="H18" s="148"/>
      <c r="I18" s="14"/>
    </row>
    <row r="19" spans="1:9" x14ac:dyDescent="0.2">
      <c r="A19" t="s">
        <v>37</v>
      </c>
      <c r="B19" s="30">
        <v>73.479729729729698</v>
      </c>
      <c r="C19" s="35">
        <v>31</v>
      </c>
      <c r="D19" s="31">
        <f>C19*(B$7+B$8/2*-COS((SUM(C$12:C19)-15/365)*PI()/180))</f>
        <v>34.643311763836756</v>
      </c>
      <c r="E19" s="14">
        <f t="shared" si="0"/>
        <v>67.006993402080866</v>
      </c>
      <c r="F19" s="14"/>
      <c r="G19" s="21"/>
      <c r="H19" s="148"/>
      <c r="I19" s="14"/>
    </row>
    <row r="20" spans="1:9" x14ac:dyDescent="0.2">
      <c r="A20" t="s">
        <v>38</v>
      </c>
      <c r="B20" s="30">
        <v>68.935643564356397</v>
      </c>
      <c r="C20" s="35">
        <v>30</v>
      </c>
      <c r="D20" s="31">
        <f>C20*(B$7+B$8/2*-COS((SUM(C$12:C20)-15/365)*PI()/180))</f>
        <v>29.743630004065388</v>
      </c>
      <c r="E20" s="14">
        <f t="shared" si="0"/>
        <v>62.403641304307897</v>
      </c>
      <c r="F20" s="14"/>
      <c r="G20" s="21"/>
      <c r="H20" s="148"/>
      <c r="I20" s="14"/>
    </row>
    <row r="21" spans="1:9" x14ac:dyDescent="0.2">
      <c r="A21" t="s">
        <v>39</v>
      </c>
      <c r="B21" s="30">
        <v>65.887850467289695</v>
      </c>
      <c r="C21" s="35">
        <v>31</v>
      </c>
      <c r="D21" s="31">
        <f>C21*(B$7+B$8/2*-COS((SUM(C$12:C21)-15/365)*PI()/180))</f>
        <v>26.783710527467825</v>
      </c>
      <c r="E21" s="14">
        <f t="shared" si="0"/>
        <v>59.370493810652718</v>
      </c>
      <c r="F21" s="14"/>
      <c r="G21" s="21"/>
      <c r="H21" s="148"/>
      <c r="I21" s="14"/>
    </row>
    <row r="22" spans="1:9" x14ac:dyDescent="0.2">
      <c r="A22" t="s">
        <v>40</v>
      </c>
      <c r="B22" s="30">
        <v>60.585585585585598</v>
      </c>
      <c r="C22" s="35">
        <v>30</v>
      </c>
      <c r="D22" s="31">
        <f>C22*(B$7+B$8/2*-COS((SUM(C$12:C22)-15/365)*PI()/180))</f>
        <v>23.319895001745198</v>
      </c>
      <c r="E22" s="14">
        <f t="shared" si="0"/>
        <v>54.374637154945532</v>
      </c>
      <c r="F22" s="14"/>
      <c r="G22" s="21"/>
      <c r="H22" s="148"/>
      <c r="I22" s="14"/>
    </row>
    <row r="23" spans="1:9" x14ac:dyDescent="0.2">
      <c r="A23" t="s">
        <v>41</v>
      </c>
      <c r="B23" s="30">
        <v>58.119658119658098</v>
      </c>
      <c r="C23" s="35">
        <v>31</v>
      </c>
      <c r="D23" s="31">
        <f>C23*(B$7+B$8/2*-COS((SUM(C$12:C23)-15/365)*PI()/180))</f>
        <v>23.268492840109332</v>
      </c>
      <c r="E23" s="14">
        <f t="shared" si="0"/>
        <v>52.311130573066634</v>
      </c>
      <c r="F23" s="14"/>
      <c r="G23" s="21"/>
      <c r="H23" s="148"/>
      <c r="I23" s="14"/>
    </row>
    <row r="24" spans="1:9" x14ac:dyDescent="0.2">
      <c r="A24" t="s">
        <v>142</v>
      </c>
      <c r="B24" s="30">
        <f>SUM(B12:B23)</f>
        <v>765.55009704661472</v>
      </c>
      <c r="C24" s="35"/>
      <c r="D24" s="31">
        <f>SUM(D12:D23)</f>
        <v>362.94942401167856</v>
      </c>
      <c r="E24" s="130">
        <f>SUM(E12:E23)</f>
        <v>698.44998487412545</v>
      </c>
      <c r="F24" s="14"/>
      <c r="G24" s="14"/>
      <c r="H24" s="149"/>
      <c r="I24" s="14"/>
    </row>
    <row r="25" spans="1:9" x14ac:dyDescent="0.2">
      <c r="A25" t="s">
        <v>157</v>
      </c>
      <c r="D25" s="31">
        <f>D24/365</f>
        <v>0.99438198359363994</v>
      </c>
      <c r="E25" s="31">
        <f t="shared" ref="E25" si="1">E24/365</f>
        <v>1.9135616023948643</v>
      </c>
      <c r="F25" s="31"/>
    </row>
    <row r="26" spans="1:9" x14ac:dyDescent="0.2">
      <c r="D26" s="31"/>
      <c r="E26" s="31"/>
      <c r="F26" s="31"/>
    </row>
    <row r="27" spans="1:9" x14ac:dyDescent="0.2">
      <c r="A27" t="s">
        <v>101</v>
      </c>
    </row>
    <row r="31" spans="1:9" x14ac:dyDescent="0.2">
      <c r="B31" s="152" t="s">
        <v>187</v>
      </c>
      <c r="C31" s="156" t="s">
        <v>186</v>
      </c>
    </row>
    <row r="32" spans="1:9" x14ac:dyDescent="0.2">
      <c r="B32" s="41" t="s">
        <v>143</v>
      </c>
      <c r="C32" s="13">
        <f>SUM(E23,E12,E13)/E24</f>
        <v>0.21123587853158945</v>
      </c>
    </row>
    <row r="33" spans="2:3" x14ac:dyDescent="0.2">
      <c r="B33" s="43" t="s">
        <v>152</v>
      </c>
      <c r="C33" s="13">
        <f>SUM(E14,E15,E16)/E24</f>
        <v>0.24639453459125824</v>
      </c>
    </row>
    <row r="34" spans="2:3" x14ac:dyDescent="0.2">
      <c r="B34" s="43" t="s">
        <v>145</v>
      </c>
      <c r="C34" s="13">
        <f>SUM(E17,E18,E19)/E24</f>
        <v>0.29017003632286076</v>
      </c>
    </row>
    <row r="35" spans="2:3" x14ac:dyDescent="0.2">
      <c r="B35" s="43" t="s">
        <v>146</v>
      </c>
      <c r="C35" s="13">
        <f>SUM(E20,E21,E22)/E24</f>
        <v>0.2521995505542915</v>
      </c>
    </row>
  </sheetData>
  <mergeCells count="1">
    <mergeCell ref="B10:E10"/>
  </mergeCells>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Roman,Regular"&amp;12&amp;A</oddHeader>
    <oddFooter>&amp;C&amp;"Times New Roman,Regular"&amp;12Page &amp;P</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41"/>
  <sheetViews>
    <sheetView topLeftCell="A7" zoomScale="120" zoomScaleNormal="120" workbookViewId="0">
      <selection activeCell="B7" sqref="B7"/>
    </sheetView>
  </sheetViews>
  <sheetFormatPr defaultRowHeight="12.75" x14ac:dyDescent="0.2"/>
  <cols>
    <col min="1" max="1" width="46" customWidth="1"/>
    <col min="2" max="2" width="20.42578125" customWidth="1"/>
    <col min="3" max="3" width="21.42578125" customWidth="1"/>
    <col min="4" max="4" width="7.7109375" customWidth="1"/>
  </cols>
  <sheetData>
    <row r="1" spans="1:25" x14ac:dyDescent="0.2">
      <c r="A1" s="46" t="s">
        <v>119</v>
      </c>
    </row>
    <row r="3" spans="1:25" x14ac:dyDescent="0.2">
      <c r="E3" s="35"/>
    </row>
    <row r="4" spans="1:25" x14ac:dyDescent="0.2">
      <c r="A4" t="s">
        <v>199</v>
      </c>
      <c r="B4" s="158">
        <f>'Reference case'!B7</f>
        <v>0</v>
      </c>
      <c r="F4" s="35"/>
      <c r="G4" s="35"/>
      <c r="H4" s="35"/>
      <c r="I4" s="35"/>
      <c r="J4" s="35"/>
      <c r="K4" s="35"/>
      <c r="L4" s="35"/>
      <c r="M4" s="35"/>
      <c r="N4" s="35"/>
      <c r="O4" s="35"/>
      <c r="P4" s="35"/>
      <c r="Q4" s="35"/>
      <c r="R4" s="35"/>
      <c r="S4" s="35"/>
      <c r="T4" s="35"/>
      <c r="U4" s="35"/>
      <c r="V4" s="35"/>
      <c r="W4" s="35"/>
      <c r="X4" s="35"/>
      <c r="Y4" s="35"/>
    </row>
    <row r="5" spans="1:25" x14ac:dyDescent="0.2">
      <c r="A5" t="s">
        <v>196</v>
      </c>
      <c r="B5" s="31">
        <f>'Consumption and calibration'!C12/365</f>
        <v>8.6280673018853022</v>
      </c>
    </row>
    <row r="6" spans="1:25" x14ac:dyDescent="0.2">
      <c r="A6" t="s">
        <v>198</v>
      </c>
      <c r="B6" s="21">
        <f>B4/B5</f>
        <v>0</v>
      </c>
    </row>
    <row r="7" spans="1:25" x14ac:dyDescent="0.2">
      <c r="A7" t="s">
        <v>197</v>
      </c>
      <c r="B7" s="226">
        <f>1/EXP($C$19*B6/$C$18)</f>
        <v>1</v>
      </c>
      <c r="C7" t="s">
        <v>257</v>
      </c>
    </row>
    <row r="8" spans="1:25" x14ac:dyDescent="0.2">
      <c r="A8" t="s">
        <v>203</v>
      </c>
      <c r="B8" s="21">
        <f>B4*B7</f>
        <v>0</v>
      </c>
    </row>
    <row r="9" spans="1:25" x14ac:dyDescent="0.2">
      <c r="A9" t="s">
        <v>205</v>
      </c>
      <c r="B9" s="35">
        <f>B8*365</f>
        <v>0</v>
      </c>
    </row>
    <row r="10" spans="1:25" x14ac:dyDescent="0.2">
      <c r="A10" t="s">
        <v>206</v>
      </c>
      <c r="B10" s="185">
        <f>'Electricity bill'!C6</f>
        <v>1329.8957956369359</v>
      </c>
    </row>
    <row r="11" spans="1:25" x14ac:dyDescent="0.2">
      <c r="A11" t="s">
        <v>207</v>
      </c>
      <c r="B11" s="35">
        <f>IF(B10&lt;B9,B10,B9)</f>
        <v>0</v>
      </c>
    </row>
    <row r="12" spans="1:25" x14ac:dyDescent="0.2">
      <c r="A12" t="s">
        <v>230</v>
      </c>
      <c r="B12" s="189" t="str">
        <f>IF(B4=0,"NA",IF(B7&lt;0.8,"NO","YES"))</f>
        <v>NA</v>
      </c>
      <c r="E12" s="83"/>
    </row>
    <row r="13" spans="1:25" x14ac:dyDescent="0.2">
      <c r="B13" s="13"/>
    </row>
    <row r="14" spans="1:25" x14ac:dyDescent="0.2">
      <c r="A14" t="s">
        <v>259</v>
      </c>
      <c r="B14" s="233">
        <v>0.87</v>
      </c>
    </row>
    <row r="15" spans="1:25" x14ac:dyDescent="0.2">
      <c r="A15" t="s">
        <v>184</v>
      </c>
      <c r="B15" s="35">
        <f>B11*(1-B14)</f>
        <v>0</v>
      </c>
    </row>
    <row r="18" spans="1:4" x14ac:dyDescent="0.2">
      <c r="A18" t="s">
        <v>189</v>
      </c>
      <c r="B18" t="s">
        <v>227</v>
      </c>
      <c r="C18" s="122">
        <v>1</v>
      </c>
      <c r="D18" s="28"/>
    </row>
    <row r="19" spans="1:4" x14ac:dyDescent="0.2">
      <c r="B19" t="s">
        <v>25</v>
      </c>
      <c r="C19">
        <v>0.69399999999999995</v>
      </c>
    </row>
    <row r="20" spans="1:4" x14ac:dyDescent="0.2">
      <c r="B20" t="s">
        <v>198</v>
      </c>
      <c r="C20" t="s">
        <v>197</v>
      </c>
    </row>
    <row r="21" spans="1:4" x14ac:dyDescent="0.2">
      <c r="B21" s="31">
        <v>0</v>
      </c>
      <c r="C21" s="13">
        <f>1/EXP($C$19*B21/$C$18)</f>
        <v>1</v>
      </c>
      <c r="D21" s="13"/>
    </row>
    <row r="22" spans="1:4" x14ac:dyDescent="0.2">
      <c r="B22" s="31">
        <v>0.2</v>
      </c>
      <c r="C22" s="13">
        <f t="shared" ref="C22:C41" si="0">1/EXP(C$19*B22/C$18)</f>
        <v>0.87040209146966419</v>
      </c>
      <c r="D22" s="13"/>
    </row>
    <row r="23" spans="1:4" x14ac:dyDescent="0.2">
      <c r="B23" s="31">
        <v>0.4</v>
      </c>
      <c r="C23" s="13">
        <f t="shared" si="0"/>
        <v>0.75759980083476564</v>
      </c>
      <c r="D23" s="13"/>
    </row>
    <row r="24" spans="1:4" x14ac:dyDescent="0.2">
      <c r="B24" s="31">
        <v>0.6</v>
      </c>
      <c r="C24" s="13">
        <f t="shared" si="0"/>
        <v>0.65941645114358105</v>
      </c>
      <c r="D24" s="13"/>
    </row>
    <row r="25" spans="1:4" x14ac:dyDescent="0.2">
      <c r="B25" s="31">
        <v>0.8</v>
      </c>
      <c r="C25" s="13">
        <f t="shared" si="0"/>
        <v>0.57395745822487654</v>
      </c>
      <c r="D25" s="13"/>
    </row>
    <row r="26" spans="1:4" x14ac:dyDescent="0.2">
      <c r="B26" s="31">
        <v>1</v>
      </c>
      <c r="C26" s="13">
        <f t="shared" si="0"/>
        <v>0.49957377205354503</v>
      </c>
      <c r="D26" s="13"/>
    </row>
    <row r="27" spans="1:4" x14ac:dyDescent="0.2">
      <c r="B27" s="31">
        <v>1.2</v>
      </c>
      <c r="C27" s="13">
        <f t="shared" si="0"/>
        <v>0.43483005603879488</v>
      </c>
      <c r="D27" s="13"/>
    </row>
    <row r="28" spans="1:4" x14ac:dyDescent="0.2">
      <c r="B28" s="31">
        <v>1.4</v>
      </c>
      <c r="C28" s="13">
        <f t="shared" si="0"/>
        <v>0.37847699021003828</v>
      </c>
      <c r="D28" s="13"/>
    </row>
    <row r="29" spans="1:4" x14ac:dyDescent="0.2">
      <c r="B29" s="31">
        <v>1.6</v>
      </c>
      <c r="C29" s="13">
        <f t="shared" si="0"/>
        <v>0.32942716385196091</v>
      </c>
      <c r="D29" s="13"/>
    </row>
    <row r="30" spans="1:4" x14ac:dyDescent="0.2">
      <c r="B30" s="31">
        <v>1.8</v>
      </c>
      <c r="C30" s="13">
        <f t="shared" si="0"/>
        <v>0.2867340924036666</v>
      </c>
      <c r="D30" s="13"/>
    </row>
    <row r="31" spans="1:4" x14ac:dyDescent="0.2">
      <c r="B31" s="31">
        <v>2</v>
      </c>
      <c r="C31" s="13">
        <f t="shared" si="0"/>
        <v>0.24957395372380733</v>
      </c>
      <c r="D31" s="13"/>
    </row>
    <row r="32" spans="1:4" x14ac:dyDescent="0.2">
      <c r="B32" s="31">
        <v>2.2000000000000002</v>
      </c>
      <c r="C32" s="13">
        <f t="shared" si="0"/>
        <v>0.21722969129755507</v>
      </c>
      <c r="D32" s="13"/>
    </row>
    <row r="33" spans="2:4" x14ac:dyDescent="0.2">
      <c r="B33" s="31">
        <v>2.4</v>
      </c>
      <c r="C33" s="13">
        <f t="shared" si="0"/>
        <v>0.18907717763470147</v>
      </c>
      <c r="D33" s="13"/>
    </row>
    <row r="34" spans="2:4" x14ac:dyDescent="0.2">
      <c r="B34" s="31">
        <v>2.6</v>
      </c>
      <c r="C34" s="13">
        <f t="shared" si="0"/>
        <v>0.16457317086242534</v>
      </c>
      <c r="D34" s="13"/>
    </row>
    <row r="35" spans="2:4" x14ac:dyDescent="0.2">
      <c r="B35" s="31">
        <v>2.8</v>
      </c>
      <c r="C35" s="13">
        <f t="shared" si="0"/>
        <v>0.14324483211844943</v>
      </c>
      <c r="D35" s="13"/>
    </row>
    <row r="36" spans="2:4" x14ac:dyDescent="0.2">
      <c r="B36" s="31">
        <v>3</v>
      </c>
      <c r="C36" s="13">
        <f t="shared" si="0"/>
        <v>0.12468060146811931</v>
      </c>
      <c r="D36" s="13"/>
    </row>
    <row r="37" spans="2:4" x14ac:dyDescent="0.2">
      <c r="B37" s="31">
        <v>3.2</v>
      </c>
      <c r="C37" s="13">
        <f t="shared" si="0"/>
        <v>0.1085222562835467</v>
      </c>
      <c r="D37" s="13"/>
    </row>
    <row r="38" spans="2:4" x14ac:dyDescent="0.2">
      <c r="B38" s="31">
        <v>3.4</v>
      </c>
      <c r="C38" s="13">
        <f t="shared" si="0"/>
        <v>9.4457998840205976E-2</v>
      </c>
      <c r="D38" s="13"/>
    </row>
    <row r="39" spans="2:4" x14ac:dyDescent="0.2">
      <c r="B39" s="31">
        <v>3.6</v>
      </c>
      <c r="C39" s="13">
        <f t="shared" si="0"/>
        <v>8.2216439746554404E-2</v>
      </c>
      <c r="D39" s="13"/>
    </row>
    <row r="40" spans="2:4" x14ac:dyDescent="0.2">
      <c r="B40" s="31">
        <v>3.8</v>
      </c>
      <c r="C40" s="13">
        <f t="shared" si="0"/>
        <v>7.1561361108590599E-2</v>
      </c>
      <c r="D40" s="13"/>
    </row>
    <row r="41" spans="2:4" x14ac:dyDescent="0.2">
      <c r="B41" s="31">
        <v>4</v>
      </c>
      <c r="C41" s="13">
        <f t="shared" si="0"/>
        <v>6.2287158377333132E-2</v>
      </c>
      <c r="D41" s="13"/>
    </row>
  </sheetData>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8"/>
  <sheetViews>
    <sheetView zoomScale="140" zoomScaleNormal="140" workbookViewId="0">
      <selection activeCell="E16" sqref="E16"/>
    </sheetView>
  </sheetViews>
  <sheetFormatPr defaultRowHeight="12.75" x14ac:dyDescent="0.2"/>
  <cols>
    <col min="1" max="1" width="11.42578125" customWidth="1"/>
    <col min="2" max="2" width="13.5703125" customWidth="1"/>
    <col min="3" max="4" width="11.42578125" customWidth="1"/>
    <col min="5" max="5" width="11.42578125" style="36" customWidth="1"/>
    <col min="6" max="1026" width="11.42578125" customWidth="1"/>
  </cols>
  <sheetData>
    <row r="1" spans="1:6" x14ac:dyDescent="0.2">
      <c r="A1" s="4" t="s">
        <v>86</v>
      </c>
    </row>
    <row r="3" spans="1:6" x14ac:dyDescent="0.2">
      <c r="A3" s="242"/>
      <c r="B3" s="243"/>
      <c r="C3" s="194" t="s">
        <v>285</v>
      </c>
      <c r="D3" s="244" t="s">
        <v>285</v>
      </c>
      <c r="E3" s="245" t="s">
        <v>286</v>
      </c>
    </row>
    <row r="4" spans="1:6" x14ac:dyDescent="0.2">
      <c r="A4" s="41" t="s">
        <v>176</v>
      </c>
      <c r="B4" s="42"/>
      <c r="C4" s="246">
        <f>'Consumption and calibration'!C12</f>
        <v>3149.2445651881353</v>
      </c>
      <c r="D4" s="238"/>
      <c r="E4" s="239"/>
    </row>
    <row r="5" spans="1:6" x14ac:dyDescent="0.2">
      <c r="A5" s="43" t="s">
        <v>147</v>
      </c>
      <c r="B5" s="56"/>
      <c r="C5" s="247">
        <f>PV!B4</f>
        <v>3285</v>
      </c>
      <c r="D5" s="49"/>
      <c r="E5" s="240"/>
    </row>
    <row r="6" spans="1:6" x14ac:dyDescent="0.2">
      <c r="A6" s="43" t="s">
        <v>192</v>
      </c>
      <c r="B6" s="56"/>
      <c r="C6" s="247">
        <f>C10+C4-C5</f>
        <v>1329.8957956369359</v>
      </c>
      <c r="D6" s="49"/>
      <c r="E6" s="240"/>
    </row>
    <row r="7" spans="1:6" x14ac:dyDescent="0.2">
      <c r="A7" s="43" t="s">
        <v>193</v>
      </c>
      <c r="B7" s="56"/>
      <c r="C7" s="247">
        <f>Battery!B11</f>
        <v>0</v>
      </c>
      <c r="D7" s="49"/>
      <c r="E7" s="240"/>
      <c r="F7" s="56"/>
    </row>
    <row r="8" spans="1:6" x14ac:dyDescent="0.2">
      <c r="A8" s="43" t="s">
        <v>213</v>
      </c>
      <c r="B8" s="56"/>
      <c r="C8" s="247">
        <f>Battery!B15</f>
        <v>0</v>
      </c>
      <c r="D8" s="49"/>
      <c r="E8" s="240"/>
      <c r="F8" s="56"/>
    </row>
    <row r="9" spans="1:6" x14ac:dyDescent="0.2">
      <c r="A9" s="43" t="s">
        <v>191</v>
      </c>
      <c r="B9" s="56"/>
      <c r="C9" s="247"/>
      <c r="D9" s="49">
        <f>C6-C7+C8</f>
        <v>1329.8957956369359</v>
      </c>
      <c r="E9" s="240">
        <f>D9*Import_tarif</f>
        <v>398.96873869108077</v>
      </c>
      <c r="F9" s="157"/>
    </row>
    <row r="10" spans="1:6" x14ac:dyDescent="0.2">
      <c r="A10" s="43" t="s">
        <v>194</v>
      </c>
      <c r="B10" s="56"/>
      <c r="C10" s="247">
        <f>PV!B7</f>
        <v>1465.6512304488003</v>
      </c>
      <c r="D10" s="49"/>
      <c r="E10" s="240"/>
      <c r="F10" s="56"/>
    </row>
    <row r="11" spans="1:6" x14ac:dyDescent="0.2">
      <c r="A11" s="43" t="s">
        <v>214</v>
      </c>
      <c r="B11" s="56"/>
      <c r="C11" s="247">
        <f>C7</f>
        <v>0</v>
      </c>
      <c r="D11" s="49"/>
      <c r="E11" s="240"/>
    </row>
    <row r="12" spans="1:6" x14ac:dyDescent="0.2">
      <c r="A12" s="48" t="s">
        <v>208</v>
      </c>
      <c r="B12" s="73"/>
      <c r="C12" s="248"/>
      <c r="D12" s="50">
        <f>C10-C11</f>
        <v>1465.6512304488003</v>
      </c>
      <c r="E12" s="241">
        <f>D12*Feed_in_tarif*-1</f>
        <v>-165.61858904071445</v>
      </c>
    </row>
    <row r="15" spans="1:6" x14ac:dyDescent="0.2">
      <c r="A15" t="s">
        <v>88</v>
      </c>
      <c r="C15" s="36">
        <f>'Common Assumptions'!B4</f>
        <v>0.9</v>
      </c>
      <c r="D15" s="36"/>
    </row>
    <row r="16" spans="1:6" x14ac:dyDescent="0.2">
      <c r="A16" t="s">
        <v>89</v>
      </c>
      <c r="E16" s="36">
        <f>C15*365</f>
        <v>328.5</v>
      </c>
    </row>
    <row r="18" spans="1:5" x14ac:dyDescent="0.2">
      <c r="A18" t="s">
        <v>90</v>
      </c>
      <c r="E18" s="37">
        <f>E9+E12+E16</f>
        <v>561.85014965036635</v>
      </c>
    </row>
  </sheetData>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Roman,Regular"&amp;12&amp;A</oddHeader>
    <oddFooter>&amp;C&amp;"Times New Roman,Regular"&amp;12Page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79"/>
  <sheetViews>
    <sheetView topLeftCell="A34" workbookViewId="0">
      <selection activeCell="B15" sqref="B15"/>
    </sheetView>
  </sheetViews>
  <sheetFormatPr defaultRowHeight="12.75" x14ac:dyDescent="0.2"/>
  <cols>
    <col min="2" max="2" width="33.85546875" customWidth="1"/>
    <col min="3" max="3" width="14.140625" customWidth="1"/>
    <col min="8" max="8" width="33.5703125" customWidth="1"/>
  </cols>
  <sheetData>
    <row r="2" spans="2:6" x14ac:dyDescent="0.2">
      <c r="B2" t="s">
        <v>237</v>
      </c>
    </row>
    <row r="5" spans="2:6" x14ac:dyDescent="0.2">
      <c r="B5" t="s">
        <v>251</v>
      </c>
    </row>
    <row r="15" spans="2:6" ht="15" x14ac:dyDescent="0.25">
      <c r="B15" s="218" t="s">
        <v>249</v>
      </c>
      <c r="C15" s="312" t="s">
        <v>250</v>
      </c>
      <c r="D15" s="312" t="s">
        <v>309</v>
      </c>
      <c r="E15" s="312" t="s">
        <v>310</v>
      </c>
      <c r="F15" s="312" t="s">
        <v>311</v>
      </c>
    </row>
    <row r="16" spans="2:6" ht="15" x14ac:dyDescent="0.25">
      <c r="B16" s="219" t="s">
        <v>164</v>
      </c>
      <c r="C16" s="220">
        <v>17.712328767123942</v>
      </c>
      <c r="D16" s="220">
        <v>17.712328767123942</v>
      </c>
      <c r="E16" s="220">
        <v>17.712328767123942</v>
      </c>
      <c r="F16" s="220">
        <v>17.712328767123942</v>
      </c>
    </row>
    <row r="17" spans="2:6" ht="15" x14ac:dyDescent="0.25">
      <c r="B17" s="219" t="s">
        <v>147</v>
      </c>
      <c r="C17" s="220">
        <v>18.126057335425205</v>
      </c>
      <c r="D17" s="220">
        <v>18.126057335425205</v>
      </c>
      <c r="E17" s="220">
        <v>18.126057335425205</v>
      </c>
      <c r="F17" s="220">
        <v>18.126057335425205</v>
      </c>
    </row>
    <row r="18" spans="2:6" ht="15" x14ac:dyDescent="0.25">
      <c r="B18" s="219" t="s">
        <v>238</v>
      </c>
      <c r="C18" s="220">
        <v>3.6252114670850411</v>
      </c>
      <c r="D18" s="220">
        <v>3.6252114670850411</v>
      </c>
      <c r="E18" s="220">
        <v>3.6252114670850411</v>
      </c>
      <c r="F18" s="220">
        <v>3.6252114670850411</v>
      </c>
    </row>
    <row r="19" spans="2:6" ht="15" x14ac:dyDescent="0.25">
      <c r="B19" s="219" t="s">
        <v>239</v>
      </c>
      <c r="C19" s="220"/>
      <c r="D19" s="220">
        <v>2.0187514678858403</v>
      </c>
      <c r="E19" s="220">
        <v>4.5667087225536127</v>
      </c>
      <c r="F19" s="220">
        <v>7.1210933164499641</v>
      </c>
    </row>
    <row r="20" spans="2:6" ht="15" x14ac:dyDescent="0.25">
      <c r="B20" s="219" t="s">
        <v>240</v>
      </c>
      <c r="C20" s="220"/>
      <c r="D20" s="220"/>
      <c r="E20" s="220"/>
      <c r="F20" s="220"/>
    </row>
    <row r="21" spans="2:6" ht="15" x14ac:dyDescent="0.25">
      <c r="B21" s="219" t="s">
        <v>241</v>
      </c>
      <c r="C21" s="220"/>
      <c r="D21" s="220">
        <v>0.19247304109588753</v>
      </c>
      <c r="E21" s="220">
        <v>0.43538600000000127</v>
      </c>
      <c r="F21" s="220">
        <v>0.67852268493151113</v>
      </c>
    </row>
    <row r="22" spans="2:6" ht="15" x14ac:dyDescent="0.25">
      <c r="B22" s="219" t="s">
        <v>242</v>
      </c>
      <c r="C22" s="220"/>
      <c r="D22" s="220">
        <v>1.8306642543583422</v>
      </c>
      <c r="E22" s="220">
        <v>4.140651005274532</v>
      </c>
      <c r="F22" s="220">
        <v>6.4491658604633573</v>
      </c>
    </row>
    <row r="23" spans="2:6" ht="15" x14ac:dyDescent="0.25">
      <c r="B23" s="219" t="s">
        <v>243</v>
      </c>
      <c r="C23" s="220"/>
      <c r="D23" s="220"/>
      <c r="E23" s="220"/>
      <c r="F23" s="220"/>
    </row>
    <row r="24" spans="2:6" ht="15" x14ac:dyDescent="0.25">
      <c r="B24" s="219" t="s">
        <v>244</v>
      </c>
      <c r="C24" s="220">
        <v>5.7065618491640562</v>
      </c>
      <c r="D24" s="220">
        <v>7.8765156690692217</v>
      </c>
      <c r="E24" s="220">
        <v>8.6338489389017141</v>
      </c>
      <c r="F24" s="220">
        <v>9.7810201479249876</v>
      </c>
    </row>
    <row r="25" spans="2:6" ht="15" x14ac:dyDescent="0.25">
      <c r="B25" s="219" t="s">
        <v>245</v>
      </c>
      <c r="C25" s="220">
        <v>12.00576691795818</v>
      </c>
      <c r="D25" s="220">
        <v>5.7605951301595058</v>
      </c>
      <c r="E25" s="220">
        <v>5.6127788204803508</v>
      </c>
      <c r="F25" s="220">
        <v>5.3922996603463726</v>
      </c>
    </row>
    <row r="26" spans="2:6" ht="15" x14ac:dyDescent="0.25">
      <c r="B26" s="219" t="s">
        <v>246</v>
      </c>
      <c r="C26" s="220">
        <v>12.419495486260786</v>
      </c>
      <c r="D26" s="220">
        <v>10.261892602739699</v>
      </c>
      <c r="E26" s="220">
        <v>7.7139402739725815</v>
      </c>
      <c r="F26" s="220">
        <v>5.1595569863013644</v>
      </c>
    </row>
    <row r="27" spans="2:6" ht="15" x14ac:dyDescent="0.25">
      <c r="B27" s="219" t="s">
        <v>247</v>
      </c>
      <c r="C27" s="220">
        <v>12.00576691795818</v>
      </c>
      <c r="D27" s="220">
        <v>10.0358649315072</v>
      </c>
      <c r="E27" s="220">
        <v>7.7259257534249457</v>
      </c>
      <c r="F27" s="220">
        <v>5.4176295890412565</v>
      </c>
    </row>
    <row r="28" spans="2:6" x14ac:dyDescent="0.2">
      <c r="B28" s="219" t="s">
        <v>248</v>
      </c>
      <c r="C28" s="221">
        <v>0.68517357395688971</v>
      </c>
      <c r="D28" s="221">
        <v>0.56614035875766877</v>
      </c>
      <c r="E28" s="221">
        <v>0.42557187871719959</v>
      </c>
      <c r="F28" s="221">
        <v>0.28464860784797524</v>
      </c>
    </row>
    <row r="29" spans="2:6" ht="15" x14ac:dyDescent="0.25">
      <c r="B29" s="222" t="s">
        <v>252</v>
      </c>
      <c r="C29" s="223"/>
      <c r="D29" s="224">
        <v>0.92</v>
      </c>
      <c r="E29" s="225">
        <v>0.83</v>
      </c>
      <c r="F29" s="225">
        <v>0.64</v>
      </c>
    </row>
    <row r="31" spans="2:6" x14ac:dyDescent="0.2">
      <c r="B31" s="209" t="s">
        <v>253</v>
      </c>
    </row>
    <row r="32" spans="2:6" ht="15" x14ac:dyDescent="0.25">
      <c r="B32" s="206" t="s">
        <v>164</v>
      </c>
      <c r="C32" s="207">
        <v>17.7</v>
      </c>
      <c r="D32" s="207">
        <v>17.7</v>
      </c>
      <c r="E32" s="207">
        <v>17.7</v>
      </c>
      <c r="F32" s="207">
        <v>17.7</v>
      </c>
    </row>
    <row r="33" spans="2:6" ht="15" x14ac:dyDescent="0.25">
      <c r="B33" s="206" t="s">
        <v>147</v>
      </c>
      <c r="C33" s="207">
        <v>18</v>
      </c>
      <c r="D33" s="207">
        <v>18</v>
      </c>
      <c r="E33" s="207">
        <v>18</v>
      </c>
      <c r="F33" s="207">
        <v>18</v>
      </c>
    </row>
    <row r="34" spans="2:6" ht="15" x14ac:dyDescent="0.25">
      <c r="B34" s="206" t="s">
        <v>238</v>
      </c>
      <c r="C34" s="207">
        <f>C33/5</f>
        <v>3.6</v>
      </c>
      <c r="D34" s="207">
        <f>D33/5</f>
        <v>3.6</v>
      </c>
      <c r="E34" s="207">
        <f>E33/5</f>
        <v>3.6</v>
      </c>
      <c r="F34" s="207">
        <f>F33/5</f>
        <v>3.6</v>
      </c>
    </row>
    <row r="35" spans="2:6" ht="15" x14ac:dyDescent="0.25">
      <c r="B35" s="206" t="s">
        <v>239</v>
      </c>
      <c r="C35" s="207"/>
      <c r="D35" s="207"/>
      <c r="E35" s="207"/>
      <c r="F35" s="207"/>
    </row>
    <row r="36" spans="2:6" ht="15" x14ac:dyDescent="0.25">
      <c r="B36" s="206" t="s">
        <v>240</v>
      </c>
      <c r="C36" s="207"/>
      <c r="D36" s="207"/>
      <c r="E36" s="207"/>
      <c r="F36" s="207"/>
    </row>
    <row r="37" spans="2:6" ht="15" x14ac:dyDescent="0.25">
      <c r="B37" s="206" t="s">
        <v>241</v>
      </c>
      <c r="C37" s="207"/>
      <c r="D37" s="207"/>
      <c r="E37" s="207"/>
      <c r="F37" s="207"/>
    </row>
    <row r="38" spans="2:6" ht="15" x14ac:dyDescent="0.25">
      <c r="B38" s="206" t="s">
        <v>242</v>
      </c>
      <c r="C38" s="207"/>
      <c r="D38" s="207"/>
      <c r="E38" s="207"/>
      <c r="F38" s="207"/>
    </row>
    <row r="39" spans="2:6" ht="15" x14ac:dyDescent="0.25">
      <c r="B39" s="206" t="s">
        <v>243</v>
      </c>
      <c r="C39" s="207"/>
      <c r="D39" s="207"/>
      <c r="E39" s="207"/>
      <c r="F39" s="207"/>
    </row>
    <row r="40" spans="2:6" ht="15" x14ac:dyDescent="0.25">
      <c r="B40" s="206" t="s">
        <v>244</v>
      </c>
      <c r="C40" s="207"/>
      <c r="D40" s="207"/>
      <c r="E40" s="207"/>
      <c r="F40" s="207"/>
    </row>
    <row r="41" spans="2:6" ht="15" x14ac:dyDescent="0.25">
      <c r="B41" s="206" t="s">
        <v>245</v>
      </c>
      <c r="C41" s="207"/>
      <c r="D41" s="207"/>
      <c r="E41" s="207"/>
      <c r="F41" s="207"/>
    </row>
    <row r="42" spans="2:6" ht="15" x14ac:dyDescent="0.25">
      <c r="B42" s="206" t="s">
        <v>246</v>
      </c>
      <c r="C42" s="207">
        <v>12.5</v>
      </c>
      <c r="D42" s="207">
        <v>10.199999999999999</v>
      </c>
      <c r="E42" s="207">
        <v>7.1744753065933748</v>
      </c>
      <c r="F42" s="207">
        <v>2.9</v>
      </c>
    </row>
    <row r="43" spans="2:6" ht="15" x14ac:dyDescent="0.25">
      <c r="B43" s="206" t="s">
        <v>247</v>
      </c>
      <c r="C43" s="207">
        <v>12.1</v>
      </c>
      <c r="D43" s="207">
        <v>10.6</v>
      </c>
      <c r="E43" s="207">
        <v>8.434506860306989</v>
      </c>
      <c r="F43" s="207">
        <v>5.4</v>
      </c>
    </row>
    <row r="44" spans="2:6" x14ac:dyDescent="0.2">
      <c r="B44" s="206" t="s">
        <v>248</v>
      </c>
      <c r="C44" s="208">
        <v>0.68517357395688971</v>
      </c>
      <c r="D44" s="208">
        <v>0.69</v>
      </c>
      <c r="E44" s="208">
        <v>0.69326652486001683</v>
      </c>
      <c r="F44" s="208">
        <v>0.69</v>
      </c>
    </row>
    <row r="45" spans="2:6" ht="15" x14ac:dyDescent="0.25">
      <c r="B45" s="210" t="s">
        <v>252</v>
      </c>
      <c r="D45" s="211">
        <v>0.96</v>
      </c>
      <c r="E45" s="13">
        <v>0.91</v>
      </c>
      <c r="F45" s="13">
        <v>0.82</v>
      </c>
    </row>
    <row r="48" spans="2:6" x14ac:dyDescent="0.2">
      <c r="B48" s="209" t="s">
        <v>254</v>
      </c>
    </row>
    <row r="49" spans="2:6" ht="15" x14ac:dyDescent="0.25">
      <c r="B49" s="206" t="s">
        <v>164</v>
      </c>
      <c r="C49" s="207">
        <v>17.7</v>
      </c>
      <c r="D49" s="207">
        <v>17.7</v>
      </c>
      <c r="E49" s="207">
        <v>17.7</v>
      </c>
      <c r="F49" s="207">
        <v>17.7</v>
      </c>
    </row>
    <row r="50" spans="2:6" ht="15" x14ac:dyDescent="0.25">
      <c r="B50" s="206" t="s">
        <v>147</v>
      </c>
      <c r="C50" s="207">
        <v>18</v>
      </c>
      <c r="D50" s="207">
        <v>18</v>
      </c>
      <c r="E50" s="207">
        <v>18</v>
      </c>
      <c r="F50" s="207">
        <v>18</v>
      </c>
    </row>
    <row r="51" spans="2:6" ht="15" x14ac:dyDescent="0.25">
      <c r="B51" s="206" t="s">
        <v>238</v>
      </c>
      <c r="C51" s="207">
        <f>C50/5</f>
        <v>3.6</v>
      </c>
      <c r="D51" s="207">
        <f>D50/5</f>
        <v>3.6</v>
      </c>
      <c r="E51" s="207">
        <f>E50/5</f>
        <v>3.6</v>
      </c>
      <c r="F51" s="207">
        <f>F50/5</f>
        <v>3.6</v>
      </c>
    </row>
    <row r="52" spans="2:6" ht="15" x14ac:dyDescent="0.25">
      <c r="B52" s="206" t="s">
        <v>239</v>
      </c>
      <c r="C52" s="207"/>
      <c r="D52" s="207"/>
      <c r="E52" s="207"/>
      <c r="F52" s="207"/>
    </row>
    <row r="53" spans="2:6" ht="15" x14ac:dyDescent="0.25">
      <c r="B53" s="206" t="s">
        <v>240</v>
      </c>
      <c r="C53" s="207"/>
      <c r="D53" s="207"/>
      <c r="E53" s="207"/>
      <c r="F53" s="207"/>
    </row>
    <row r="54" spans="2:6" ht="15" x14ac:dyDescent="0.25">
      <c r="B54" s="206" t="s">
        <v>241</v>
      </c>
      <c r="C54" s="207"/>
      <c r="D54" s="207"/>
      <c r="E54" s="207"/>
      <c r="F54" s="207"/>
    </row>
    <row r="55" spans="2:6" ht="15" x14ac:dyDescent="0.25">
      <c r="B55" s="206" t="s">
        <v>242</v>
      </c>
      <c r="C55" s="207"/>
      <c r="D55" s="207"/>
      <c r="E55" s="207"/>
      <c r="F55" s="207"/>
    </row>
    <row r="56" spans="2:6" ht="15" x14ac:dyDescent="0.25">
      <c r="B56" s="206" t="s">
        <v>243</v>
      </c>
      <c r="C56" s="207"/>
      <c r="D56" s="207"/>
      <c r="E56" s="207"/>
      <c r="F56" s="207"/>
    </row>
    <row r="57" spans="2:6" ht="15" x14ac:dyDescent="0.25">
      <c r="B57" s="206" t="s">
        <v>244</v>
      </c>
      <c r="C57" s="207"/>
      <c r="D57" s="207"/>
      <c r="E57" s="207"/>
      <c r="F57" s="207"/>
    </row>
    <row r="58" spans="2:6" ht="15" x14ac:dyDescent="0.25">
      <c r="B58" s="206" t="s">
        <v>245</v>
      </c>
      <c r="C58" s="207"/>
      <c r="D58" s="207"/>
      <c r="E58" s="207"/>
      <c r="F58" s="207"/>
    </row>
    <row r="59" spans="2:6" ht="15" x14ac:dyDescent="0.25">
      <c r="B59" s="206" t="s">
        <v>246</v>
      </c>
      <c r="C59" s="207">
        <v>12.5</v>
      </c>
      <c r="D59" s="207">
        <v>10.199999999999999</v>
      </c>
      <c r="E59" s="207">
        <v>7.1744753065933748</v>
      </c>
      <c r="F59" s="207">
        <v>2.9</v>
      </c>
    </row>
    <row r="60" spans="2:6" ht="15" x14ac:dyDescent="0.25">
      <c r="B60" s="206" t="s">
        <v>247</v>
      </c>
      <c r="C60" s="207">
        <v>12.1</v>
      </c>
      <c r="D60" s="207">
        <v>10.6</v>
      </c>
      <c r="E60" s="207">
        <v>8.434506860306989</v>
      </c>
      <c r="F60" s="207">
        <v>5.4</v>
      </c>
    </row>
    <row r="61" spans="2:6" x14ac:dyDescent="0.2">
      <c r="B61" s="206" t="s">
        <v>248</v>
      </c>
      <c r="C61" s="208">
        <v>0.68517357395688971</v>
      </c>
      <c r="D61" s="208"/>
      <c r="E61" s="208"/>
      <c r="F61" s="208"/>
    </row>
    <row r="62" spans="2:6" ht="15" x14ac:dyDescent="0.25">
      <c r="B62" s="210" t="s">
        <v>252</v>
      </c>
      <c r="D62" s="214">
        <v>0.92800000000000005</v>
      </c>
      <c r="E62" s="10">
        <v>0.83</v>
      </c>
      <c r="F62" s="10">
        <v>0.68899999999999995</v>
      </c>
    </row>
    <row r="65" spans="2:8" x14ac:dyDescent="0.2">
      <c r="B65" s="209" t="s">
        <v>255</v>
      </c>
      <c r="H65" s="213" t="str">
        <f>"With current model settings. (battery = "&amp;'Reference case'!B7&amp;"kWh)"</f>
        <v>With current model settings. (battery = 0kWh)</v>
      </c>
    </row>
    <row r="66" spans="2:8" ht="15" x14ac:dyDescent="0.25">
      <c r="B66" s="206" t="s">
        <v>164</v>
      </c>
      <c r="C66" s="207">
        <v>17.7</v>
      </c>
      <c r="D66" s="207">
        <v>17.7</v>
      </c>
      <c r="E66" s="207">
        <v>17.7</v>
      </c>
      <c r="F66" s="207">
        <v>17.7</v>
      </c>
      <c r="H66" s="31">
        <f>'Reference case'!B18/365</f>
        <v>8.6280673018853022</v>
      </c>
    </row>
    <row r="67" spans="2:8" ht="15" x14ac:dyDescent="0.25">
      <c r="B67" s="206" t="s">
        <v>147</v>
      </c>
      <c r="C67" s="207">
        <v>18</v>
      </c>
      <c r="D67" s="207">
        <v>18</v>
      </c>
      <c r="E67" s="207">
        <v>18</v>
      </c>
      <c r="F67" s="207">
        <v>18</v>
      </c>
      <c r="H67" s="31">
        <f>'Reference case'!B15/365</f>
        <v>9</v>
      </c>
    </row>
    <row r="68" spans="2:8" ht="15" x14ac:dyDescent="0.25">
      <c r="B68" s="206" t="s">
        <v>238</v>
      </c>
      <c r="C68" s="207">
        <f>C67/5</f>
        <v>3.6</v>
      </c>
      <c r="D68" s="207">
        <f>D67/5</f>
        <v>3.6</v>
      </c>
      <c r="E68" s="207">
        <f>E67/5</f>
        <v>3.6</v>
      </c>
      <c r="F68" s="207">
        <f>F67/5</f>
        <v>3.6</v>
      </c>
      <c r="H68" s="212">
        <f>H67/'Reference case'!B5</f>
        <v>3.6</v>
      </c>
    </row>
    <row r="69" spans="2:8" ht="15" x14ac:dyDescent="0.25">
      <c r="B69" s="206" t="s">
        <v>239</v>
      </c>
      <c r="C69" s="207"/>
      <c r="D69" s="207"/>
      <c r="E69" s="207"/>
      <c r="F69" s="207"/>
      <c r="H69" s="31"/>
    </row>
    <row r="70" spans="2:8" ht="15" x14ac:dyDescent="0.25">
      <c r="B70" s="206" t="s">
        <v>240</v>
      </c>
      <c r="C70" s="207"/>
      <c r="D70" s="207"/>
      <c r="E70" s="207"/>
      <c r="F70" s="207"/>
      <c r="H70" s="31"/>
    </row>
    <row r="71" spans="2:8" ht="15" x14ac:dyDescent="0.25">
      <c r="B71" s="206" t="s">
        <v>241</v>
      </c>
      <c r="C71" s="207"/>
      <c r="D71" s="207"/>
      <c r="E71" s="207"/>
      <c r="F71" s="207"/>
      <c r="H71" s="31"/>
    </row>
    <row r="72" spans="2:8" ht="15" x14ac:dyDescent="0.25">
      <c r="B72" s="206" t="s">
        <v>242</v>
      </c>
      <c r="C72" s="207"/>
      <c r="D72" s="207"/>
      <c r="E72" s="207"/>
      <c r="F72" s="207"/>
      <c r="H72" s="31"/>
    </row>
    <row r="73" spans="2:8" ht="15" x14ac:dyDescent="0.25">
      <c r="B73" s="206" t="s">
        <v>243</v>
      </c>
      <c r="C73" s="207"/>
      <c r="D73" s="207"/>
      <c r="E73" s="207"/>
      <c r="F73" s="207"/>
      <c r="H73" s="31"/>
    </row>
    <row r="74" spans="2:8" ht="15" x14ac:dyDescent="0.25">
      <c r="B74" s="206" t="s">
        <v>244</v>
      </c>
      <c r="C74" s="207"/>
      <c r="D74" s="207"/>
      <c r="E74" s="207"/>
      <c r="F74" s="207"/>
      <c r="H74" s="31"/>
    </row>
    <row r="75" spans="2:8" ht="15" x14ac:dyDescent="0.25">
      <c r="B75" s="206" t="s">
        <v>245</v>
      </c>
      <c r="C75" s="207"/>
      <c r="D75" s="207"/>
      <c r="E75" s="207"/>
      <c r="F75" s="207"/>
      <c r="H75" s="31"/>
    </row>
    <row r="76" spans="2:8" ht="15" x14ac:dyDescent="0.25">
      <c r="B76" s="206" t="s">
        <v>246</v>
      </c>
      <c r="C76" s="207">
        <v>12.5</v>
      </c>
      <c r="D76" s="207">
        <v>10.199999999999999</v>
      </c>
      <c r="E76" s="207">
        <v>7.1744753065933748</v>
      </c>
      <c r="F76" s="207">
        <v>2.9</v>
      </c>
      <c r="H76" s="31">
        <f>'Reference case'!B16/365</f>
        <v>4.0154828231473978</v>
      </c>
    </row>
    <row r="77" spans="2:8" ht="15" x14ac:dyDescent="0.25">
      <c r="B77" s="206" t="s">
        <v>247</v>
      </c>
      <c r="C77" s="207">
        <v>12.1</v>
      </c>
      <c r="D77" s="207">
        <v>10.6</v>
      </c>
      <c r="E77" s="207">
        <v>8.434506860306989</v>
      </c>
      <c r="F77" s="207">
        <v>5.4</v>
      </c>
      <c r="H77" s="31">
        <f>'Reference case'!B17/365</f>
        <v>3.6435501250327009</v>
      </c>
    </row>
    <row r="78" spans="2:8" x14ac:dyDescent="0.2">
      <c r="B78" s="206" t="s">
        <v>248</v>
      </c>
      <c r="C78" s="215">
        <v>0.69299999999999995</v>
      </c>
      <c r="D78" s="215">
        <v>0.59099999999999997</v>
      </c>
      <c r="E78" s="215">
        <v>0.46500000000000002</v>
      </c>
      <c r="F78" s="215">
        <v>0.318</v>
      </c>
      <c r="H78" s="10">
        <f>'Reference case'!B23</f>
        <v>0.44616475812748868</v>
      </c>
    </row>
    <row r="79" spans="2:8" ht="15" x14ac:dyDescent="0.25">
      <c r="B79" s="210" t="s">
        <v>252</v>
      </c>
      <c r="D79" s="214">
        <v>0.92500000000000004</v>
      </c>
      <c r="E79" s="10">
        <v>0.82199999999999995</v>
      </c>
      <c r="F79" s="10">
        <v>0.67600000000000005</v>
      </c>
      <c r="H79" s="10">
        <f>Battery!B7</f>
        <v>1</v>
      </c>
    </row>
  </sheetData>
  <conditionalFormatting sqref="D28:F28">
    <cfRule type="expression" dxfId="1" priority="4">
      <formula>AND(D$78=MIN($H28:$L28),SUM($H$78:$L$78)&gt;0)</formula>
    </cfRule>
  </conditionalFormatting>
  <conditionalFormatting sqref="D44:F44 D61:F61 D78:F78">
    <cfRule type="expression" dxfId="0" priority="3">
      <formula>AND(D$78=MIN($H44:$L44),SUM($H$78:$L$78)&gt;0)</formula>
    </cfRule>
  </conditionalFormatting>
  <pageMargins left="0.7" right="0.7" top="0.75" bottom="0.75" header="0.3" footer="0.3"/>
  <pageSetup paperSize="9"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D29"/>
  <sheetViews>
    <sheetView workbookViewId="0">
      <selection activeCell="B23" sqref="B23"/>
    </sheetView>
  </sheetViews>
  <sheetFormatPr defaultRowHeight="12.75" x14ac:dyDescent="0.2"/>
  <cols>
    <col min="4" max="4" width="142.7109375" customWidth="1"/>
  </cols>
  <sheetData>
    <row r="2" spans="2:4" ht="15.75" x14ac:dyDescent="0.25">
      <c r="B2" s="234" t="s">
        <v>261</v>
      </c>
    </row>
    <row r="4" spans="2:4" x14ac:dyDescent="0.2">
      <c r="B4" t="s">
        <v>276</v>
      </c>
    </row>
    <row r="5" spans="2:4" x14ac:dyDescent="0.2">
      <c r="B5" t="s">
        <v>265</v>
      </c>
    </row>
    <row r="6" spans="2:4" x14ac:dyDescent="0.2">
      <c r="B6" t="s">
        <v>264</v>
      </c>
    </row>
    <row r="8" spans="2:4" x14ac:dyDescent="0.2">
      <c r="B8" s="46" t="s">
        <v>271</v>
      </c>
    </row>
    <row r="10" spans="2:4" x14ac:dyDescent="0.2">
      <c r="B10" t="s">
        <v>262</v>
      </c>
      <c r="C10" t="s">
        <v>263</v>
      </c>
    </row>
    <row r="11" spans="2:4" x14ac:dyDescent="0.2">
      <c r="B11" s="21">
        <v>2.75</v>
      </c>
      <c r="C11" s="31">
        <v>1</v>
      </c>
    </row>
    <row r="12" spans="2:4" x14ac:dyDescent="0.2">
      <c r="B12" s="21">
        <f t="shared" ref="B12:B29" si="0">B11+0.25</f>
        <v>3</v>
      </c>
      <c r="C12" s="31">
        <f t="shared" ref="C12:C29" si="1">C11+0.5</f>
        <v>1.5</v>
      </c>
    </row>
    <row r="13" spans="2:4" x14ac:dyDescent="0.2">
      <c r="B13" s="21">
        <f t="shared" si="0"/>
        <v>3.25</v>
      </c>
      <c r="C13" s="31">
        <f t="shared" si="1"/>
        <v>2</v>
      </c>
    </row>
    <row r="14" spans="2:4" x14ac:dyDescent="0.2">
      <c r="B14" s="21">
        <f t="shared" si="0"/>
        <v>3.5</v>
      </c>
      <c r="C14" s="31">
        <f t="shared" si="1"/>
        <v>2.5</v>
      </c>
      <c r="D14" t="s">
        <v>267</v>
      </c>
    </row>
    <row r="15" spans="2:4" x14ac:dyDescent="0.2">
      <c r="B15" s="21">
        <f t="shared" si="0"/>
        <v>3.75</v>
      </c>
      <c r="C15" s="31">
        <f t="shared" si="1"/>
        <v>3</v>
      </c>
    </row>
    <row r="16" spans="2:4" x14ac:dyDescent="0.2">
      <c r="B16" s="21">
        <f t="shared" si="0"/>
        <v>4</v>
      </c>
      <c r="C16" s="31">
        <f t="shared" si="1"/>
        <v>3.5</v>
      </c>
      <c r="D16" t="s">
        <v>272</v>
      </c>
    </row>
    <row r="17" spans="2:4" x14ac:dyDescent="0.2">
      <c r="B17" s="21">
        <f t="shared" si="0"/>
        <v>4.25</v>
      </c>
      <c r="C17" s="31">
        <f t="shared" si="1"/>
        <v>4</v>
      </c>
      <c r="D17" t="s">
        <v>266</v>
      </c>
    </row>
    <row r="18" spans="2:4" x14ac:dyDescent="0.2">
      <c r="B18" s="21">
        <f t="shared" si="0"/>
        <v>4.5</v>
      </c>
      <c r="C18" s="31">
        <f t="shared" si="1"/>
        <v>4.5</v>
      </c>
      <c r="D18" t="s">
        <v>275</v>
      </c>
    </row>
    <row r="19" spans="2:4" x14ac:dyDescent="0.2">
      <c r="B19" s="21">
        <f t="shared" si="0"/>
        <v>4.75</v>
      </c>
      <c r="C19" s="31">
        <f t="shared" si="1"/>
        <v>5</v>
      </c>
    </row>
    <row r="20" spans="2:4" x14ac:dyDescent="0.2">
      <c r="B20" s="21">
        <f t="shared" si="0"/>
        <v>5</v>
      </c>
      <c r="C20" s="31">
        <f t="shared" si="1"/>
        <v>5.5</v>
      </c>
      <c r="D20" t="s">
        <v>273</v>
      </c>
    </row>
    <row r="21" spans="2:4" x14ac:dyDescent="0.2">
      <c r="B21" s="21">
        <f t="shared" si="0"/>
        <v>5.25</v>
      </c>
      <c r="C21" s="31">
        <f t="shared" si="1"/>
        <v>6</v>
      </c>
    </row>
    <row r="22" spans="2:4" x14ac:dyDescent="0.2">
      <c r="B22" s="21">
        <f t="shared" si="0"/>
        <v>5.5</v>
      </c>
      <c r="C22" s="31">
        <f t="shared" si="1"/>
        <v>6.5</v>
      </c>
    </row>
    <row r="23" spans="2:4" x14ac:dyDescent="0.2">
      <c r="B23" s="21">
        <f t="shared" si="0"/>
        <v>5.75</v>
      </c>
      <c r="C23" s="31">
        <f t="shared" si="1"/>
        <v>7</v>
      </c>
      <c r="D23" t="s">
        <v>274</v>
      </c>
    </row>
    <row r="24" spans="2:4" x14ac:dyDescent="0.2">
      <c r="B24" s="21">
        <f t="shared" si="0"/>
        <v>6</v>
      </c>
      <c r="C24" s="31">
        <f t="shared" si="1"/>
        <v>7.5</v>
      </c>
    </row>
    <row r="25" spans="2:4" x14ac:dyDescent="0.2">
      <c r="B25" s="21">
        <f t="shared" si="0"/>
        <v>6.25</v>
      </c>
      <c r="C25" s="31">
        <f t="shared" si="1"/>
        <v>8</v>
      </c>
    </row>
    <row r="26" spans="2:4" x14ac:dyDescent="0.2">
      <c r="B26" s="21">
        <f t="shared" si="0"/>
        <v>6.5</v>
      </c>
      <c r="C26" s="31">
        <f t="shared" si="1"/>
        <v>8.5</v>
      </c>
    </row>
    <row r="27" spans="2:4" x14ac:dyDescent="0.2">
      <c r="B27" s="21">
        <f t="shared" si="0"/>
        <v>6.75</v>
      </c>
      <c r="C27" s="31">
        <f t="shared" si="1"/>
        <v>9</v>
      </c>
    </row>
    <row r="28" spans="2:4" x14ac:dyDescent="0.2">
      <c r="B28" s="21">
        <f t="shared" si="0"/>
        <v>7</v>
      </c>
      <c r="C28" s="31">
        <f t="shared" si="1"/>
        <v>9.5</v>
      </c>
    </row>
    <row r="29" spans="2:4" x14ac:dyDescent="0.2">
      <c r="B29" s="21">
        <f t="shared" si="0"/>
        <v>7.25</v>
      </c>
      <c r="C29" s="31">
        <f t="shared" si="1"/>
        <v>10</v>
      </c>
    </row>
  </sheetData>
  <pageMargins left="0.7" right="0.7" top="0.75" bottom="0.75" header="0.3" footer="0.3"/>
  <pageSetup paperSize="9" r:id="rId1"/>
</worksheet>
</file>

<file path=docProps/app.xml><?xml version="1.0" encoding="utf-8"?>
<Properties xmlns="http://schemas.openxmlformats.org/officeDocument/2006/extended-properties" xmlns:vt="http://schemas.openxmlformats.org/officeDocument/2006/docPropsVTypes">
  <Template/>
  <TotalTime>2491</TotalTime>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Meta</vt:lpstr>
      <vt:lpstr>Reference case</vt:lpstr>
      <vt:lpstr>Common Assumptions</vt:lpstr>
      <vt:lpstr>SC-rate function</vt:lpstr>
      <vt:lpstr>Consumption and calibration</vt:lpstr>
      <vt:lpstr>PV</vt:lpstr>
      <vt:lpstr>Heating and cooling</vt:lpstr>
      <vt:lpstr>NatHERS scale</vt:lpstr>
      <vt:lpstr>Other loads</vt:lpstr>
      <vt:lpstr>Hot water</vt:lpstr>
      <vt:lpstr>Battery</vt:lpstr>
      <vt:lpstr>Electricity bill</vt:lpstr>
      <vt:lpstr>Calibration notes</vt:lpstr>
      <vt:lpstr>AC stars</vt:lpstr>
      <vt:lpstr>Activity_hours_per_day</vt:lpstr>
      <vt:lpstr>area_scaling</vt:lpstr>
      <vt:lpstr>Capacity_factor</vt:lpstr>
      <vt:lpstr>Cooling_energy_electric_per_annum</vt:lpstr>
      <vt:lpstr>Cooling_season</vt:lpstr>
      <vt:lpstr>CoP</vt:lpstr>
      <vt:lpstr>energy_usage_practice_scaling</vt:lpstr>
      <vt:lpstr>Feed_in_tarif</vt:lpstr>
      <vt:lpstr>Floor_area</vt:lpstr>
      <vt:lpstr>Heating_energy_electric_per_annum</vt:lpstr>
      <vt:lpstr>Heating_season</vt:lpstr>
      <vt:lpstr>Import_tarif</vt:lpstr>
      <vt:lpstr>NatHERS_energy_density</vt:lpstr>
      <vt:lpstr>Occupancy_people</vt:lpstr>
      <vt:lpstr>Occupancy_scaling</vt:lpstr>
      <vt:lpstr>Occupancy_time_proportion</vt:lpstr>
      <vt:lpstr>Reality_check_scaling</vt:lpstr>
      <vt:lpstr>Solar_sufficiency_scaling</vt:lpstr>
      <vt:lpstr>Summertime_peak_sun_hours</vt:lpstr>
      <vt:lpstr>Wintertime_peak_sun_hours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Keech</dc:creator>
  <dc:description/>
  <cp:lastModifiedBy>Richard Keech</cp:lastModifiedBy>
  <cp:revision>49</cp:revision>
  <dcterms:created xsi:type="dcterms:W3CDTF">2017-05-27T11:38:34Z</dcterms:created>
  <dcterms:modified xsi:type="dcterms:W3CDTF">2018-06-17T12:20:08Z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